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X7mma/bxP30Vp5VCnFyWZDCgIQ24W8aEvVLbnhO3wHlUJE5u4rj/nLCynratZ6VXrzTTg7/fZZ9kH/yBGAVStw==" workbookSaltValue="UCx35NOS/L4SNqZod44k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B12" i="6" s="1"/>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AE19" i="8"/>
  <c r="EP19" i="8"/>
  <c r="ER19" i="13"/>
  <c r="AL13" i="16"/>
  <c r="BL9" i="11"/>
  <c r="P17" i="17"/>
  <c r="BK9" i="11"/>
  <c r="S13" i="16"/>
  <c r="H18" i="16"/>
  <c r="P13" i="16"/>
  <c r="AN13" i="20"/>
  <c r="Z13" i="17"/>
  <c r="M13" i="2"/>
  <c r="AC10" i="11"/>
  <c r="T19" i="8"/>
  <c r="AJ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B18" i="2"/>
  <c r="B16" i="6"/>
  <c r="BD12" i="8"/>
  <c r="H13" i="12"/>
  <c r="AO12" i="17"/>
  <c r="H12" i="7"/>
  <c r="AB19" i="8"/>
  <c r="Z19" i="8"/>
  <c r="AY13" i="8"/>
  <c r="BG10" i="8"/>
  <c r="K10" i="7" s="1"/>
  <c r="C19" i="3"/>
  <c r="AO17" i="11"/>
  <c r="E11" i="6"/>
  <c r="AO16" i="11"/>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AQ16" i="17"/>
  <c r="AL18" i="11"/>
  <c r="B19" i="7"/>
  <c r="D19" i="12"/>
  <c r="P12" i="11"/>
  <c r="Y13" i="11"/>
  <c r="I12" i="12"/>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<sst xmlns="http://schemas.openxmlformats.org/spreadsheetml/2006/main" count="2102" uniqueCount="918">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</sst>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fwCH/Ybl4aBuyx2aXO0YwurXKE7WvBR+TGpF7rqv1d51D/hq7y1/5MxjYAcfVOD1HyIAGhqDI5UrFEr16Q0kQ==" saltValue="TKhE8sOsmjQgZBpoOj7h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2</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32.233830845771145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643</v>
      </c>
      <c r="D16" s="224">
        <f>IF(ISNUMBER(IF(D_I="SI",Datos!I16,Datos!I16+Datos!AC16)),IF(D_I="SI",Datos!I16,Datos!I16+Datos!AC16)," - ")</f>
        <v>635</v>
      </c>
      <c r="E16" s="225">
        <f>IF(ISNUMBER(IF(D_I="SI",Datos!J16,Datos!J16+Datos!AD16)),IF(D_I="SI",Datos!J16,Datos!J16+Datos!AD16)," - ")</f>
        <v>309</v>
      </c>
      <c r="F16" s="225">
        <f>IF(ISNUMBER(IF(D_I="SI",Datos!K16,Datos!K16+Datos!AE16)),IF(D_I="SI",Datos!K16,Datos!K16+Datos!AE16)," - ")</f>
        <v>186</v>
      </c>
      <c r="G16" s="1033" t="str">
        <f>IF(Datos!E16&lt;&gt;"",Datos!E16,Datos!D16)</f>
        <v>04</v>
      </c>
      <c r="H16" s="226">
        <f>IF(ISNUMBER(IF(D_I="SI",Datos!L16,Datos!L16+Datos!AF16)),IF(D_I="SI",Datos!L16,Datos!L16+Datos!AF16)," - ")</f>
        <v>766</v>
      </c>
      <c r="I16" s="1043" t="str">
        <f>IF(ISNUMBER(Datos!AS16/Datos!BM16),Datos!AS16/Datos!BM16," - ")</f>
        <v xml:space="preserve"> - </v>
      </c>
      <c r="J16" s="1044">
        <f>IF(ISNUMBER(Datos!BY16/Datos!CN16),Datos!BY16/Datos!CN16," - ")</f>
        <v>0</v>
      </c>
      <c r="K16" s="229">
        <f t="shared" si="3"/>
        <v>0.19129082426127528</v>
      </c>
      <c r="L16" s="1024">
        <f>IF(ISNUMBER(NºAsuntos!I16/NºAsuntos!G16),(NºAsuntos!I16/NºAsuntos!G16)*11," - ")</f>
        <v>45.3010752688172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34</v>
      </c>
      <c r="E17" s="225">
        <f>IF(ISNUMBER(IF(D_I="SI",Datos!J17,Datos!J17+Datos!AD17)),IF(D_I="SI",Datos!J17,Datos!J17+Datos!AD17)," - ")</f>
        <v>12</v>
      </c>
      <c r="F17" s="225">
        <f>IF(ISNUMBER(IF(D_I="SI",Datos!K17,Datos!K17+Datos!AE17)),IF(D_I="SI",Datos!K17,Datos!K17+Datos!AE17)," - ")</f>
        <v>12</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31.166666666666668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677</v>
      </c>
      <c r="D18" s="1048">
        <f>SUBTOTAL(9,D15:D17)</f>
        <v>669</v>
      </c>
      <c r="E18" s="1049">
        <f>SUBTOTAL(9,E15:E17)</f>
        <v>321</v>
      </c>
      <c r="F18" s="1049">
        <f>SUBTOTAL(9,F15:F17)</f>
        <v>198</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682</v>
      </c>
      <c r="D19" s="1070">
        <f>SUBTOTAL(9,D9:D18)</f>
        <v>674</v>
      </c>
      <c r="E19" s="1071">
        <f>SUBTOTAL(9,E9:E18)</f>
        <v>322</v>
      </c>
      <c r="F19" s="1071">
        <f>SUBTOTAL(9,F9:F18)</f>
        <v>200</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cY8m2/uWJk9WfR7aZmoMDUff2GH39WlpaLBIl+6hRwgw4aOiXx6bej3bH3H8n8EyIMjIaLvQZmngYXhA5AOSA==" saltValue="g4g8AWV7agPHrRsDuFje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IK9p72I52ZLKqoBFQ49zn5ifCgIxMSqj4FivahVP4l0rR7Zzz3T8INgc4Hj25ob7MJmvvRN2kb3XYkxXLyG7g==" saltValue="JzqJW3D6dguf4Gkg16ij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2</v>
      </c>
      <c r="L10" s="180">
        <v>4</v>
      </c>
      <c r="M10" s="180">
        <v>0</v>
      </c>
      <c r="N10" s="180">
        <v>0</v>
      </c>
      <c r="O10" s="180">
        <v>0</v>
      </c>
      <c r="P10" s="180">
        <v>0</v>
      </c>
      <c r="Q10" s="180">
        <v>0</v>
      </c>
      <c r="R10" s="180">
        <v>0</v>
      </c>
      <c r="S10" s="180">
        <v>4</v>
      </c>
      <c r="T10" s="180">
        <v>2</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1</v>
      </c>
      <c r="BB10" s="129">
        <f t="shared" si="0"/>
        <v>5</v>
      </c>
      <c r="BC10" s="125">
        <f t="shared" si="0"/>
        <v>1</v>
      </c>
      <c r="BD10" s="126">
        <f>IF(ISNUMBER(BA10/AZ10),BA10/AZ10," - ")</f>
        <v>0.5</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582</v>
      </c>
      <c r="J12" s="182">
        <v>160</v>
      </c>
      <c r="K12" s="182">
        <v>179</v>
      </c>
      <c r="L12" s="182">
        <v>563</v>
      </c>
      <c r="M12" s="182">
        <v>58</v>
      </c>
      <c r="N12" s="182">
        <v>21</v>
      </c>
      <c r="O12" s="180">
        <v>94</v>
      </c>
      <c r="P12" s="182">
        <v>53</v>
      </c>
      <c r="Q12" s="182">
        <v>59</v>
      </c>
      <c r="R12" s="182">
        <v>446</v>
      </c>
      <c r="S12" s="182">
        <v>429</v>
      </c>
      <c r="T12" s="182">
        <v>283</v>
      </c>
      <c r="U12" s="182">
        <v>202</v>
      </c>
      <c r="V12" s="182">
        <v>510</v>
      </c>
      <c r="W12" s="182">
        <v>76</v>
      </c>
      <c r="X12" s="188">
        <v>67</v>
      </c>
      <c r="Y12" s="190">
        <v>22</v>
      </c>
      <c r="Z12" s="180">
        <v>26</v>
      </c>
      <c r="AA12" s="180">
        <v>22</v>
      </c>
      <c r="AB12" s="180">
        <v>26</v>
      </c>
      <c r="AC12" s="182">
        <v>0</v>
      </c>
      <c r="AD12" s="182">
        <v>0</v>
      </c>
      <c r="AE12" s="182">
        <v>0</v>
      </c>
      <c r="AF12" s="188">
        <v>0</v>
      </c>
      <c r="AG12" s="201">
        <v>11</v>
      </c>
      <c r="AH12" s="182">
        <v>5</v>
      </c>
      <c r="AI12" s="182">
        <v>8</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440</v>
      </c>
      <c r="AZ12" s="127">
        <f t="shared" si="1"/>
        <v>288</v>
      </c>
      <c r="BA12" s="127">
        <f t="shared" si="1"/>
        <v>210</v>
      </c>
      <c r="BB12" s="127">
        <f t="shared" si="1"/>
        <v>518</v>
      </c>
      <c r="BC12" s="125">
        <f>IF(ISNUMBER(X12),X12," - ")</f>
        <v>67</v>
      </c>
      <c r="BD12" s="126">
        <f t="shared" si="2"/>
        <v>0.72916666666666663</v>
      </c>
      <c r="BE12" s="127">
        <f t="shared" si="3"/>
        <v>2.4666666666666668</v>
      </c>
      <c r="BF12" s="127">
        <f t="shared" si="4"/>
        <v>0.31904761904761902</v>
      </c>
      <c r="BG12" s="195">
        <f t="shared" si="5"/>
        <v>3.4666666666666668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587</v>
      </c>
      <c r="J13" s="183">
        <f t="shared" si="6"/>
        <v>161</v>
      </c>
      <c r="K13" s="183">
        <f t="shared" si="6"/>
        <v>181</v>
      </c>
      <c r="L13" s="183">
        <f t="shared" si="6"/>
        <v>567</v>
      </c>
      <c r="M13" s="183">
        <f t="shared" si="6"/>
        <v>58</v>
      </c>
      <c r="N13" s="183">
        <f t="shared" si="6"/>
        <v>21</v>
      </c>
      <c r="O13" s="183">
        <f t="shared" si="6"/>
        <v>94</v>
      </c>
      <c r="P13" s="183">
        <f t="shared" si="6"/>
        <v>53</v>
      </c>
      <c r="Q13" s="183">
        <f t="shared" si="6"/>
        <v>59</v>
      </c>
      <c r="R13" s="183">
        <f t="shared" si="6"/>
        <v>446</v>
      </c>
      <c r="S13" s="183">
        <f t="shared" si="6"/>
        <v>433</v>
      </c>
      <c r="T13" s="183">
        <f t="shared" si="6"/>
        <v>285</v>
      </c>
      <c r="U13" s="183">
        <f t="shared" si="6"/>
        <v>203</v>
      </c>
      <c r="V13" s="183">
        <f t="shared" si="6"/>
        <v>515</v>
      </c>
      <c r="W13" s="183">
        <f t="shared" si="6"/>
        <v>77</v>
      </c>
      <c r="X13" s="183">
        <f t="shared" si="6"/>
        <v>67</v>
      </c>
      <c r="Y13" s="183">
        <f t="shared" si="6"/>
        <v>22</v>
      </c>
      <c r="Z13" s="183">
        <f t="shared" si="6"/>
        <v>26</v>
      </c>
      <c r="AA13" s="183">
        <f t="shared" si="6"/>
        <v>22</v>
      </c>
      <c r="AB13" s="183">
        <f t="shared" si="6"/>
        <v>26</v>
      </c>
      <c r="AC13" s="183">
        <f t="shared" si="6"/>
        <v>0</v>
      </c>
      <c r="AD13" s="183">
        <f t="shared" si="6"/>
        <v>0</v>
      </c>
      <c r="AE13" s="183">
        <f t="shared" si="6"/>
        <v>0</v>
      </c>
      <c r="AF13" s="183">
        <f>SUBTOTAL(9,AF9:AF12)</f>
        <v>0</v>
      </c>
      <c r="AG13" s="183">
        <f t="shared" ref="AG13:AT13" si="7">SUBTOTAL(9,AG8:AG12)</f>
        <v>11</v>
      </c>
      <c r="AH13" s="183">
        <f t="shared" si="7"/>
        <v>5</v>
      </c>
      <c r="AI13" s="183">
        <f t="shared" si="7"/>
        <v>8</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444</v>
      </c>
      <c r="AZ13" s="183">
        <f>SUBTOTAL(9,AZ8:AZ12)</f>
        <v>290</v>
      </c>
      <c r="BA13" s="183">
        <f>SUBTOTAL(9,BA8:BA12)</f>
        <v>211</v>
      </c>
      <c r="BB13" s="183">
        <f>SUBTOTAL(9,BB8:BB12)</f>
        <v>523</v>
      </c>
      <c r="BC13" s="183">
        <f>SUBTOTAL(9,BC8:BC12)</f>
        <v>68</v>
      </c>
      <c r="BD13" s="204">
        <f>IF(ISNUMBER(BA13/AZ13),BA13/AZ13," - ")</f>
        <v>0.72758620689655173</v>
      </c>
      <c r="BE13" s="205">
        <f>IF(ISNUMBER(BB13/BA13),BB13/BA13, " - ")</f>
        <v>2.4786729857819907</v>
      </c>
      <c r="BF13" s="205">
        <f>IF(ISNUMBER(BC13/BA13),BC13/BA13, " - ")</f>
        <v>0.32227488151658767</v>
      </c>
      <c r="BG13" s="206">
        <f>IF(ISNUMBER((AY13+AZ13)/BA13),(AY13+AZ13)/BA13," - ")</f>
        <v>3.4786729857819907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635</v>
      </c>
      <c r="J16" s="182">
        <v>309</v>
      </c>
      <c r="K16" s="182">
        <v>186</v>
      </c>
      <c r="L16" s="182">
        <v>766</v>
      </c>
      <c r="M16" s="182">
        <v>20</v>
      </c>
      <c r="N16" s="182">
        <v>141</v>
      </c>
      <c r="O16" s="180">
        <v>0</v>
      </c>
      <c r="P16" s="182">
        <v>0</v>
      </c>
      <c r="Q16" s="182">
        <v>0</v>
      </c>
      <c r="R16" s="182">
        <v>58</v>
      </c>
      <c r="S16" s="182">
        <v>561</v>
      </c>
      <c r="T16" s="182">
        <v>230</v>
      </c>
      <c r="U16" s="182">
        <v>259</v>
      </c>
      <c r="V16" s="182">
        <v>542</v>
      </c>
      <c r="W16" s="182">
        <v>39</v>
      </c>
      <c r="X16" s="188">
        <v>136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561</v>
      </c>
      <c r="AZ16" s="127">
        <f t="shared" si="9"/>
        <v>230</v>
      </c>
      <c r="BA16" s="127">
        <f t="shared" si="9"/>
        <v>259</v>
      </c>
      <c r="BB16" s="127">
        <f t="shared" si="9"/>
        <v>542</v>
      </c>
      <c r="BC16" s="125">
        <f>IF(ISNUMBER(W16),W16," - ")</f>
        <v>39</v>
      </c>
      <c r="BD16" s="126">
        <f t="shared" ref="BD16" si="11">IF(ISNUMBER(BA16/AZ16),BA16/AZ16," - ")</f>
        <v>1.1260869565217391</v>
      </c>
      <c r="BE16" s="127">
        <f t="shared" ref="BE16" si="12">IF(ISNUMBER(BB16/BA16),BB16/BA16, " - ")</f>
        <v>2.0926640926640925</v>
      </c>
      <c r="BF16" s="127">
        <f t="shared" ref="BF16" si="13">IF(ISNUMBER(BC16/BA16),BC16/BA16, " - ")</f>
        <v>0.15057915057915058</v>
      </c>
      <c r="BG16" s="195">
        <f t="shared" si="10"/>
        <v>3.0540540540540539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v>
      </c>
      <c r="J17" s="182">
        <v>12</v>
      </c>
      <c r="K17" s="182">
        <v>12</v>
      </c>
      <c r="L17" s="182">
        <v>34</v>
      </c>
      <c r="M17" s="182">
        <v>1</v>
      </c>
      <c r="N17" s="182">
        <v>8</v>
      </c>
      <c r="O17" s="182">
        <v>0</v>
      </c>
      <c r="P17" s="182">
        <v>0</v>
      </c>
      <c r="Q17" s="182">
        <v>0</v>
      </c>
      <c r="R17" s="182">
        <v>0</v>
      </c>
      <c r="S17" s="182">
        <v>37</v>
      </c>
      <c r="T17" s="182">
        <v>12</v>
      </c>
      <c r="U17" s="182">
        <v>17</v>
      </c>
      <c r="V17" s="182">
        <v>32</v>
      </c>
      <c r="W17" s="182">
        <v>2</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12</v>
      </c>
      <c r="BA17" s="129">
        <f t="shared" si="14"/>
        <v>17</v>
      </c>
      <c r="BB17" s="129">
        <f t="shared" si="14"/>
        <v>32</v>
      </c>
      <c r="BC17" s="125">
        <f>IF(ISNUMBER(W17),W17," - ")</f>
        <v>2</v>
      </c>
      <c r="BD17" s="126">
        <f>IF(ISNUMBER(BA17/AZ17),BA17/AZ17," - ")</f>
        <v>1.4166666666666667</v>
      </c>
      <c r="BE17" s="127">
        <f>IF(ISNUMBER(BB17/BA17),BB17/BA17, " - ")</f>
        <v>1.8823529411764706</v>
      </c>
      <c r="BF17" s="127">
        <f>IF(ISNUMBER(BC17/BA17),BC17/BA17, " - ")</f>
        <v>0.11764705882352941</v>
      </c>
      <c r="BG17" s="195">
        <f>IF(ISNUMBER((AY17+AZ17)/BA17),(AY17+AZ17)/BA17," - ")</f>
        <v>2.8823529411764706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669</v>
      </c>
      <c r="J18" s="183">
        <f t="shared" si="15"/>
        <v>321</v>
      </c>
      <c r="K18" s="183">
        <f t="shared" si="15"/>
        <v>198</v>
      </c>
      <c r="L18" s="183">
        <f t="shared" si="15"/>
        <v>800</v>
      </c>
      <c r="M18" s="183">
        <f t="shared" si="15"/>
        <v>21</v>
      </c>
      <c r="N18" s="183">
        <f t="shared" si="15"/>
        <v>149</v>
      </c>
      <c r="O18" s="183">
        <f t="shared" si="15"/>
        <v>0</v>
      </c>
      <c r="P18" s="183">
        <f t="shared" si="15"/>
        <v>0</v>
      </c>
      <c r="Q18" s="183">
        <f t="shared" si="15"/>
        <v>0</v>
      </c>
      <c r="R18" s="183">
        <f t="shared" si="15"/>
        <v>58</v>
      </c>
      <c r="S18" s="183">
        <f t="shared" si="15"/>
        <v>598</v>
      </c>
      <c r="T18" s="183">
        <f t="shared" si="15"/>
        <v>242</v>
      </c>
      <c r="U18" s="183">
        <f t="shared" si="15"/>
        <v>276</v>
      </c>
      <c r="V18" s="183">
        <f t="shared" si="15"/>
        <v>574</v>
      </c>
      <c r="W18" s="183">
        <f t="shared" si="15"/>
        <v>41</v>
      </c>
      <c r="X18" s="183">
        <f t="shared" si="15"/>
        <v>142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598</v>
      </c>
      <c r="AZ18" s="183">
        <f>SUBTOTAL(9,AZ14:AZ17)</f>
        <v>242</v>
      </c>
      <c r="BA18" s="183">
        <f>SUBTOTAL(9,BA14:BA17)</f>
        <v>276</v>
      </c>
      <c r="BB18" s="183">
        <f>SUBTOTAL(9,BB14:BB17)</f>
        <v>574</v>
      </c>
      <c r="BC18" s="183">
        <f>SUBTOTAL(9,BC14:BC17)</f>
        <v>41</v>
      </c>
      <c r="BD18" s="204">
        <f>IF(ISNUMBER(BA18/AZ18),BA18/AZ18," - ")</f>
        <v>1.140495867768595</v>
      </c>
      <c r="BE18" s="205">
        <f>IF(ISNUMBER(BB18/BA18),BB18/BA18, " - ")</f>
        <v>2.0797101449275361</v>
      </c>
      <c r="BF18" s="205">
        <f>IF(ISNUMBER(BC18/BA18),BC18/BA18, " - ")</f>
        <v>0.14855072463768115</v>
      </c>
      <c r="BG18" s="206">
        <f>IF(ISNUMBER((AY18+AZ18)/BA18),(AY18+AZ18)/BA18," - ")</f>
        <v>3.0434782608695654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1256</v>
      </c>
      <c r="J19" s="134">
        <f t="shared" si="18"/>
        <v>482</v>
      </c>
      <c r="K19" s="134">
        <f t="shared" si="18"/>
        <v>379</v>
      </c>
      <c r="L19" s="134">
        <f t="shared" si="18"/>
        <v>1367</v>
      </c>
      <c r="M19" s="134">
        <f t="shared" si="18"/>
        <v>79</v>
      </c>
      <c r="N19" s="134">
        <f t="shared" si="18"/>
        <v>170</v>
      </c>
      <c r="O19" s="134">
        <f t="shared" si="18"/>
        <v>94</v>
      </c>
      <c r="P19" s="134">
        <f t="shared" si="18"/>
        <v>53</v>
      </c>
      <c r="Q19" s="134">
        <f t="shared" si="18"/>
        <v>59</v>
      </c>
      <c r="R19" s="134">
        <f t="shared" si="18"/>
        <v>504</v>
      </c>
      <c r="S19" s="134">
        <f t="shared" si="18"/>
        <v>1031</v>
      </c>
      <c r="T19" s="134">
        <f t="shared" si="18"/>
        <v>527</v>
      </c>
      <c r="U19" s="134">
        <f t="shared" si="18"/>
        <v>479</v>
      </c>
      <c r="V19" s="134">
        <f t="shared" si="18"/>
        <v>1089</v>
      </c>
      <c r="W19" s="134">
        <f t="shared" si="18"/>
        <v>118</v>
      </c>
      <c r="X19" s="134">
        <f t="shared" si="18"/>
        <v>209</v>
      </c>
      <c r="Y19" s="134">
        <f t="shared" si="18"/>
        <v>22</v>
      </c>
      <c r="Z19" s="134">
        <f t="shared" si="18"/>
        <v>26</v>
      </c>
      <c r="AA19" s="134">
        <f t="shared" si="18"/>
        <v>22</v>
      </c>
      <c r="AB19" s="134">
        <f t="shared" si="18"/>
        <v>26</v>
      </c>
      <c r="AC19" s="134">
        <f t="shared" si="18"/>
        <v>0</v>
      </c>
      <c r="AD19" s="134">
        <f t="shared" si="18"/>
        <v>0</v>
      </c>
      <c r="AE19" s="134">
        <f t="shared" si="18"/>
        <v>0</v>
      </c>
      <c r="AF19" s="134">
        <f t="shared" si="18"/>
        <v>0</v>
      </c>
      <c r="AG19" s="134">
        <f t="shared" si="18"/>
        <v>11</v>
      </c>
      <c r="AH19" s="134">
        <f t="shared" si="18"/>
        <v>5</v>
      </c>
      <c r="AI19" s="134">
        <f t="shared" si="18"/>
        <v>8</v>
      </c>
      <c r="AJ19" s="134">
        <f t="shared" si="18"/>
        <v>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1042</v>
      </c>
      <c r="AZ19" s="134">
        <f>SUBTOTAL(9,AZ9:AZ18)</f>
        <v>532</v>
      </c>
      <c r="BA19" s="134">
        <f>SUBTOTAL(9,BA9:BA18)</f>
        <v>487</v>
      </c>
      <c r="BB19" s="134">
        <f>SUBTOTAL(9,BB9:BB18)</f>
        <v>1097</v>
      </c>
      <c r="BC19" s="135">
        <f>SUBTOTAL(9,BC9:BC18)</f>
        <v>109</v>
      </c>
      <c r="BD19" s="212">
        <f>IF(ISNUMBER(BA19/AZ19),BA19/AZ19," - ")</f>
        <v>0.91541353383458646</v>
      </c>
      <c r="BE19" s="209">
        <f>IF(ISNUMBER(BB19/BA19),BB19/BA19, " - ")</f>
        <v>2.2525667351129361</v>
      </c>
      <c r="BF19" s="209">
        <f>IF(ISNUMBER(BC19/BA19),BC19/BA19, " - ")</f>
        <v>0.22381930184804927</v>
      </c>
      <c r="BG19" s="135">
        <f>IF(ISNUMBER((AY19+AZ19)/BA19),(AY19+AZ19)/BA19," - ")</f>
        <v>3.2320328542094456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AFkIzmIRgfHuRFK9fIlIYbjSoinKePm0FUdfzSJQmAvkUbDbzIQi/4UC9tApj5ILiKDvDGlkDbhx4L8VjMZg==" saltValue="z46WoIuFy8PR3xkevBgz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6nfHlUmNeHOkm5K2LhFr0Ajm8yLUtK/SKM/mg4VT8envyLuAhWt9ZnusmCiqTTW5eqJX9IDk6TWPetR+6bOYA==" saltValue="9RUzZVyuCsJccomGXLNC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446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58</v>
      </c>
      <c r="BD12" s="228">
        <f>IF(ISNUMBER(Datos!N12),Datos!N12," - ")</f>
        <v>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1.0806451612903225</v>
      </c>
      <c r="BH12" s="259">
        <f>IF(ISNUMBER(((IF(J_V="SI",Datos!L12/Datos!K12,(Datos!L12+Datos!AB12)/(Datos!K12+Datos!AA12)))*11)/factor_trimestre),((IF(J_V="SI",Datos!L12/Datos!K12,(Datos!L12+Datos!AB12)/(Datos!K12+Datos!AA12)))*11)/factor_trimestre," - ")</f>
        <v>8.7910447761194028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-1.3274336283185841E-2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59</v>
      </c>
      <c r="AD13" s="898">
        <f t="shared" si="1"/>
        <v>0</v>
      </c>
      <c r="AE13" s="898">
        <f t="shared" si="1"/>
        <v>0</v>
      </c>
      <c r="AF13" s="898">
        <f t="shared" si="1"/>
        <v>4</v>
      </c>
      <c r="AG13" s="898">
        <f t="shared" si="1"/>
        <v>0</v>
      </c>
      <c r="AH13" s="898">
        <f t="shared" si="1"/>
        <v>26</v>
      </c>
      <c r="AI13" s="898">
        <f t="shared" si="1"/>
        <v>0</v>
      </c>
      <c r="AJ13" s="898">
        <f t="shared" si="1"/>
        <v>0</v>
      </c>
      <c r="AK13" s="898">
        <f t="shared" si="1"/>
        <v>0</v>
      </c>
      <c r="AL13" s="898">
        <f t="shared" si="1"/>
        <v>0</v>
      </c>
      <c r="AM13" s="898">
        <f t="shared" si="1"/>
        <v>446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58</v>
      </c>
      <c r="BD13" s="898">
        <f t="shared" si="1"/>
        <v>21</v>
      </c>
      <c r="BE13" s="898">
        <f t="shared" si="1"/>
        <v>0</v>
      </c>
      <c r="BF13" s="898">
        <f t="shared" si="1"/>
        <v>0</v>
      </c>
      <c r="BG13" s="898">
        <f>IF(ISNUMBER(Datos!K13/Datos!J13),Datos!K13/Datos!J13," - ")</f>
        <v>1.1242236024844721</v>
      </c>
      <c r="BH13" s="902">
        <f>IF(ISNUMBER(((Datos!L13/Datos!K13)*11)/factor_trimestre),((Datos!L13/Datos!K13)*11)/factor_trimestre," - ")</f>
        <v>9.3977900552486187</v>
      </c>
      <c r="BI13" s="898">
        <f>IF(ISNUMBER('Resol  Asuntos'!D13/NºAsuntos!G13),'Resol  Asuntos'!D13/NºAsuntos!G13," - ")</f>
        <v>0.2857142857142857</v>
      </c>
      <c r="BJ13" s="898" t="str">
        <f>IF(ISNUMBER(Datos!CI13/Datos!CJ13),Datos!CI13/Datos!CJ13," - ")</f>
        <v xml:space="preserve"> - </v>
      </c>
      <c r="BK13" s="898">
        <f>SUBTOTAL(9,BK8:BK12)</f>
        <v>0</v>
      </c>
      <c r="BL13" s="898">
        <f>IF(ISNUMBER((I13-AB13+L13)/(F13)),(I13-AB13+L13)/(F13)," - ")</f>
        <v>-0.4</v>
      </c>
      <c r="BM13" s="903">
        <f>SUBTOTAL(9,BM9:BM12)</f>
        <v>-1.3274336283185841E-2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643</v>
      </c>
      <c r="G16" s="597">
        <f>IF(ISNUMBER(IF(D_I="SI",Datos!I16,Datos!I16+Datos!AC16)),IF(D_I="SI",Datos!I16,Datos!I16+Datos!AC16)," - ")</f>
        <v>635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186</v>
      </c>
      <c r="AC16" s="225">
        <f>IF(ISNUMBER(Datos!Q16),Datos!Q16," - ")</f>
        <v>0</v>
      </c>
      <c r="AD16" s="333"/>
      <c r="AE16" s="483"/>
      <c r="AF16" s="595">
        <f>IF(ISNUMBER(IF(D_I="SI",Datos!L16,Datos!L16+Datos!AF16)),IF(D_I="SI",Datos!L16,Datos!L16+Datos!AF16)," - ")</f>
        <v>766</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141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0.60194174757281549</v>
      </c>
      <c r="BH16" s="259">
        <f>IF(ISNUMBER(((IF(D_I="SI",Datos!L16/Datos!K16,(Datos!L16+Datos!AF16)/(Datos!K16+Datos!AE16)))*11)/factor_trimestre),((IF(D_I="SI",Datos!L16/Datos!K16,(Datos!L16+Datos!AF16)/(Datos!K16+Datos!AE16)))*11)/factor_trimestre," - ")</f>
        <v>12.354838709677418</v>
      </c>
      <c r="BI16" s="242">
        <f>IF(ISNUMBER('Resol  Asuntos'!D16/NºAsuntos!G16),'Resol  Asuntos'!D16/NºAsuntos!G16," - ")</f>
        <v>0.10752688172043011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8.5</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643</v>
      </c>
      <c r="G18" s="897">
        <f>SUBTOTAL(9,G15:G17)</f>
        <v>669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198</v>
      </c>
      <c r="AC18" s="898">
        <f t="shared" si="4"/>
        <v>0</v>
      </c>
      <c r="AD18" s="898">
        <f t="shared" si="4"/>
        <v>0</v>
      </c>
      <c r="AE18" s="898">
        <f t="shared" si="4"/>
        <v>0</v>
      </c>
      <c r="AF18" s="898">
        <f t="shared" si="4"/>
        <v>800</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149</v>
      </c>
      <c r="BE18" s="898">
        <f t="shared" si="4"/>
        <v>0</v>
      </c>
      <c r="BF18" s="898">
        <f t="shared" si="4"/>
        <v>0</v>
      </c>
      <c r="BG18" s="898">
        <f>IF(ISNUMBER(Datos!K18/Datos!J18),Datos!K18/Datos!J18," - ")</f>
        <v>0.61682242990654201</v>
      </c>
      <c r="BH18" s="902">
        <f>IF(ISNUMBER(((Datos!L18/Datos!K18)*11)/factor_trimestre),((Datos!L18/Datos!K18)*11)/factor_trimestre," - ")</f>
        <v>12.121212121212123</v>
      </c>
      <c r="BI18" s="898">
        <f>SUBTOTAL(9,BI15:BI17)</f>
        <v>0.19086021505376344</v>
      </c>
      <c r="BJ18" s="898">
        <f>SUBTOTAL(9,BJ15:BJ17)</f>
        <v>0</v>
      </c>
      <c r="BK18" s="898">
        <f>SUBTOTAL(9,BK15:BK17)</f>
        <v>0</v>
      </c>
      <c r="BL18" s="898">
        <f>IF(ISNUMBER((I18-AB18+L18)/(F18)),(I18-AB18+L18)/(F18)," - ")</f>
        <v>-0.30793157076205285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648</v>
      </c>
      <c r="G19" s="819">
        <f t="shared" si="6"/>
        <v>674</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200</v>
      </c>
      <c r="AC19" s="820">
        <f t="shared" si="7"/>
        <v>59</v>
      </c>
      <c r="AD19" s="820">
        <f t="shared" si="7"/>
        <v>0</v>
      </c>
      <c r="AE19" s="820">
        <f t="shared" si="7"/>
        <v>0</v>
      </c>
      <c r="AF19" s="827">
        <f t="shared" si="7"/>
        <v>804</v>
      </c>
      <c r="AG19" s="827">
        <f t="shared" si="7"/>
        <v>0</v>
      </c>
      <c r="AH19" s="827">
        <f t="shared" si="7"/>
        <v>26</v>
      </c>
      <c r="AI19" s="827">
        <f t="shared" si="7"/>
        <v>0</v>
      </c>
      <c r="AJ19" s="820">
        <f t="shared" si="7"/>
        <v>0</v>
      </c>
      <c r="AK19" s="827">
        <f t="shared" si="7"/>
        <v>0</v>
      </c>
      <c r="AL19" s="827">
        <f t="shared" si="7"/>
        <v>0</v>
      </c>
      <c r="AM19" s="827">
        <f t="shared" si="7"/>
        <v>504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v>
      </c>
      <c r="BD19" s="819">
        <f t="shared" si="7"/>
        <v>170</v>
      </c>
      <c r="BE19" s="819">
        <f t="shared" si="7"/>
        <v>0</v>
      </c>
      <c r="BF19" s="829">
        <f t="shared" si="7"/>
        <v>0</v>
      </c>
      <c r="BG19" s="914">
        <f>IF(ISNUMBER(Datos!K19/Datos!J19),Datos!K19/Datos!J19," - ")</f>
        <v>0.7863070539419087</v>
      </c>
      <c r="BH19" s="914">
        <f>IF(ISNUMBER(((Datos!L19/Datos!K19)*11)/factor_trimestre),((Datos!L19/Datos!K19)*11)/factor_trimestre," - ")</f>
        <v>10.820580474934037</v>
      </c>
      <c r="BI19" s="812">
        <f>IF(ISNUMBER(Datos!J19/Datos!I19),Datos!J19/Datos!I19," - ")</f>
        <v>0.38375796178343952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-0.30864197530864196</v>
      </c>
      <c r="BM19" s="888">
        <f>IF(ISNUMBER((Datos!P19-Datos!Q19+R19)/(Datos!R19-Datos!P19+Datos!Q19-R19)),(Datos!P19-Datos!Q19+R19)/(Datos!R19-Datos!P19+Datos!Q19-R19)," - ")</f>
        <v>-1.1764705882352941E-2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269.60000000000002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368.34947174298122</v>
      </c>
      <c r="G21" s="551">
        <f>IF(ISNUMBER(STDEV(G8:G18)),STDEV(G8:G18),"-")</f>
        <v>349.48934175450904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102.41093691593686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26.112576791015218</v>
      </c>
      <c r="BD21" s="550"/>
      <c r="BE21" s="550">
        <f>IF(ISNUMBER(STDEV(BE8:BE18)),STDEV(BE8:BE18),"-")</f>
        <v>0</v>
      </c>
      <c r="BF21" s="555">
        <f>IF(ISNUMBER(STDEV(BF8:BF18)),STDEV(BF8:BF18),"-")</f>
        <v>0</v>
      </c>
      <c r="BG21" s="774">
        <f>IF(ISNUMBER(STDEV(BG8:BG18)),STDEV(BG8:BG18),"-")</f>
        <v>0.50937211476796296</v>
      </c>
      <c r="BH21" s="775">
        <f>IF(ISNUMBER(STDEV(BH8:BH18)),STDEV(BH8:BH18),"-")</f>
        <v>2.399141105117943</v>
      </c>
      <c r="BI21" s="248">
        <f>IF(ISNUMBER(STDEV(BI8:BI18)),STDEV(BI8:BI18),"-")</f>
        <v>9.1650558313486202E-2</v>
      </c>
      <c r="BJ21" s="229" t="str">
        <f>IF(ISNUMBER(BL21/BM21),BL21/BM21," - ")</f>
        <v xml:space="preserve"> - </v>
      </c>
      <c r="BK21" s="574"/>
      <c r="BL21" s="558">
        <f>IF(ISNUMBER(STDEV(BL8:BL18)),STDEV(BL8:BL18),"-")</f>
        <v>6.5102210647346434E-2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POwB8EAXSdhVj+xIi6okrQ8KTC2Bd9bzgiIIe6GL7iMJsIsb73fzqxoKJjBANrfJvzHySmePP2GTErph7TWlw==" saltValue="ULBvY4nrbMHrdBuut0q2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CERVERA DE PISUERGA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446</v>
      </c>
      <c r="AF12" s="228" t="str">
        <f>IF(ISNUMBER(Datos!BV12),Datos!BV12," - ")</f>
        <v xml:space="preserve"> - </v>
      </c>
      <c r="AG12" s="224" t="str">
        <f>IF(ISNUMBER(Datos!DV12),Datos!DV12," - ")</f>
        <v xml:space="preserve"> - </v>
      </c>
      <c r="AH12" s="297"/>
      <c r="AI12" s="226"/>
      <c r="AJ12" s="224">
        <f>IF(ISNUMBER(Datos!M12),Datos!M12," - ")</f>
        <v>58</v>
      </c>
      <c r="AK12" s="228">
        <f>IF(ISNUMBER(Datos!N12),Datos!N12," - ")</f>
        <v>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8.7910447761194028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-1.3274336283185841E-2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59</v>
      </c>
      <c r="AA13" s="899">
        <f t="shared" si="2"/>
        <v>4</v>
      </c>
      <c r="AB13" s="899">
        <f t="shared" si="2"/>
        <v>0</v>
      </c>
      <c r="AC13" s="899">
        <f t="shared" si="2"/>
        <v>0</v>
      </c>
      <c r="AD13" s="899">
        <f t="shared" si="2"/>
        <v>0</v>
      </c>
      <c r="AE13" s="899">
        <f t="shared" si="2"/>
        <v>446</v>
      </c>
      <c r="AF13" s="907">
        <f t="shared" si="2"/>
        <v>0</v>
      </c>
      <c r="AG13" s="907">
        <f t="shared" si="2"/>
        <v>0</v>
      </c>
      <c r="AH13" s="907">
        <f t="shared" si="2"/>
        <v>0</v>
      </c>
      <c r="AI13" s="907">
        <f t="shared" si="2"/>
        <v>0</v>
      </c>
      <c r="AJ13" s="907">
        <f t="shared" si="2"/>
        <v>58</v>
      </c>
      <c r="AK13" s="907">
        <f t="shared" si="2"/>
        <v>21</v>
      </c>
      <c r="AL13" s="907">
        <f t="shared" si="2"/>
        <v>0</v>
      </c>
      <c r="AM13" s="907">
        <f t="shared" si="2"/>
        <v>0</v>
      </c>
      <c r="AN13" s="907">
        <f t="shared" si="2"/>
        <v>0</v>
      </c>
      <c r="AO13" s="903">
        <f>IF(ISNUMBER(((NºAsuntos!I13/NºAsuntos!G13)*11)/factor_trimestre),((NºAsuntos!I13/NºAsuntos!G13)*11)/factor_trimestre," - ")</f>
        <v>8.7635467980295569</v>
      </c>
      <c r="AP13" s="909" t="str">
        <f>IF(ISNUMBER(Datos!CI13/Datos!CJ13),Datos!CI13/Datos!CJ13," - ")</f>
        <v xml:space="preserve"> - </v>
      </c>
      <c r="AQ13" s="927">
        <f t="shared" ref="AQ13:AV13" si="3">SUBTOTAL(9,AQ9:AQ12)</f>
        <v>0</v>
      </c>
      <c r="AR13" s="927">
        <f t="shared" si="3"/>
        <v>-1.3274336283185841E-2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643</v>
      </c>
      <c r="G16" s="224">
        <f>IF(ISNUMBER(IF(D_I="SI",Datos!I16,Datos!I16+Datos!AC16)),IF(D_I="SI",Datos!I16,Datos!I16+Datos!AC16)," - ")</f>
        <v>635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186</v>
      </c>
      <c r="Z16" s="618">
        <f>IF(ISNUMBER(Datos!Q16),Datos!Q16," - ")</f>
        <v>0</v>
      </c>
      <c r="AA16" s="331">
        <f>IF(ISNUMBER(IF(D_I="SI",Datos!L16,Datos!L16+Datos!AF16)),IF(D_I="SI",Datos!L16,Datos!L16+Datos!AF16)," - ")</f>
        <v>766</v>
      </c>
      <c r="AB16" s="333"/>
      <c r="AC16" s="333"/>
      <c r="AD16" s="483"/>
      <c r="AE16" s="483">
        <f>IF(ISNUMBER(Datos!R16),Datos!R16," - ")</f>
        <v>58</v>
      </c>
      <c r="AF16" s="228" t="str">
        <f>IF(ISNUMBER(Datos!BV16),Datos!BV16," - ")</f>
        <v xml:space="preserve"> - </v>
      </c>
      <c r="AG16" s="224"/>
      <c r="AH16" s="297"/>
      <c r="AI16" s="226"/>
      <c r="AJ16" s="224">
        <f>IF(ISNUMBER(Datos!M16),Datos!M16," - ")</f>
        <v>20</v>
      </c>
      <c r="AK16" s="228">
        <f>IF(ISNUMBER(Datos!N16),Datos!N16," - ")</f>
        <v>141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12.354838709677418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643</v>
      </c>
      <c r="G18" s="897">
        <f>SUBTOTAL(9,G15:G17)</f>
        <v>669</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198</v>
      </c>
      <c r="Z18" s="931">
        <f t="shared" si="5"/>
        <v>0</v>
      </c>
      <c r="AA18" s="931">
        <f t="shared" si="5"/>
        <v>800</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21</v>
      </c>
      <c r="AK18" s="931">
        <f t="shared" si="5"/>
        <v>149</v>
      </c>
      <c r="AL18" s="931">
        <f t="shared" si="5"/>
        <v>0</v>
      </c>
      <c r="AM18" s="931">
        <f t="shared" si="5"/>
        <v>0</v>
      </c>
      <c r="AN18" s="931">
        <f t="shared" si="5"/>
        <v>0</v>
      </c>
      <c r="AO18" s="933">
        <f>IF(ISNUMBER(((NºAsuntos!I18/NºAsuntos!G18)*11)/factor_trimestre),((NºAsuntos!I18/NºAsuntos!G18)*11)/factor_trimestre," - ")</f>
        <v>12.121212121212123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648</v>
      </c>
      <c r="G19" s="819">
        <f t="shared" si="7"/>
        <v>674</v>
      </c>
      <c r="H19" s="820">
        <f t="shared" si="7"/>
        <v>0</v>
      </c>
      <c r="I19" s="819">
        <f t="shared" si="7"/>
        <v>0</v>
      </c>
      <c r="J19" s="821">
        <f t="shared" si="7"/>
        <v>0</v>
      </c>
      <c r="K19" s="819">
        <f t="shared" si="7"/>
        <v>0</v>
      </c>
      <c r="L19" s="822">
        <f t="shared" si="7"/>
        <v>0</v>
      </c>
      <c r="M19" s="819">
        <f t="shared" si="7"/>
        <v>0</v>
      </c>
      <c r="N19" s="820">
        <f t="shared" si="7"/>
        <v>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200</v>
      </c>
      <c r="Z19" s="826">
        <f t="shared" si="8"/>
        <v>59</v>
      </c>
      <c r="AA19" s="827">
        <f t="shared" si="8"/>
        <v>804</v>
      </c>
      <c r="AB19" s="827">
        <f t="shared" si="8"/>
        <v>0</v>
      </c>
      <c r="AC19" s="827">
        <f t="shared" si="8"/>
        <v>0</v>
      </c>
      <c r="AD19" s="828">
        <f t="shared" si="8"/>
        <v>0</v>
      </c>
      <c r="AE19" s="828">
        <f t="shared" si="8"/>
        <v>504</v>
      </c>
      <c r="AF19" s="829">
        <f t="shared" si="8"/>
        <v>0</v>
      </c>
      <c r="AG19" s="830">
        <f t="shared" si="8"/>
        <v>0</v>
      </c>
      <c r="AH19" s="831">
        <f t="shared" si="8"/>
        <v>0</v>
      </c>
      <c r="AI19" s="829">
        <f t="shared" si="8"/>
        <v>0</v>
      </c>
      <c r="AJ19" s="819">
        <f t="shared" si="8"/>
        <v>79</v>
      </c>
      <c r="AK19" s="819">
        <f t="shared" si="8"/>
        <v>170</v>
      </c>
      <c r="AL19" s="819">
        <f t="shared" si="8"/>
        <v>0</v>
      </c>
      <c r="AM19" s="832">
        <f t="shared" si="8"/>
        <v>0</v>
      </c>
      <c r="AN19" s="822">
        <f>IF(ISNUMBER(Datos!K19/Datos!J19),Datos!K19/Datos!J19," - ")</f>
        <v>0.7863070539419087</v>
      </c>
      <c r="AO19" s="822">
        <f>IF(ISNUMBER(FIND("06",Criterios!A8,1)),(IF(ISNUMBER(((Datos!R19/Datos!Q19)*11)/factor_trimestre),((Datos!R19/Datos!Q19)*11)/factor_trimestre," - ")),(IF(ISNUMBER(((Datos!L19/Datos!K19)*11)/factor_trimestre),((Datos!L19/Datos!K19)*11)/factor_trimestre," - ")))</f>
        <v>10.820580474934037</v>
      </c>
      <c r="AP19" s="833" t="str">
        <f>IF(ISNUMBER(Datos!CI19/Datos!CJ19),Datos!CI19/Datos!CJ19," - ")</f>
        <v xml:space="preserve"> - </v>
      </c>
      <c r="AQ19" s="833">
        <f>IF(OR(ISNUMBER(FIND("01",Criterios!A8,1)),ISNUMBER(FIND("02",Criterios!A8,1)),ISNUMBER(FIND("03",Criterios!A8,1)),ISNUMBER(FIND("04",Criterios!A8,1))),(J19-Y19+K19)/(F19-K19),(I19-Y19+K19)/(F19-K19))</f>
        <v>-0.30864197530864196</v>
      </c>
      <c r="AR19" s="833">
        <f>IF(ISNUMBER((Datos!P19-Datos!Q19+O19)/(Datos!R19-Datos!P19+Datos!Q19-O19)),(Datos!P19-Datos!Q19+O19)/(Datos!R19-Datos!P19+Datos!Q19-O19)," - ")</f>
        <v>-1.1764705882352941E-2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269.60000000000002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368.34947174298122</v>
      </c>
      <c r="G21" s="551">
        <f>IF(ISNUMBER(STDEV(G8:G18)),STDEV(G8:G18),"-")</f>
        <v>349.48934175450904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26.112576791015218</v>
      </c>
      <c r="AK21" s="251"/>
      <c r="AL21" s="251">
        <f>IF(ISNUMBER(STDEV(AL8:AL18)),STDEV(AL8:AL18),"-")</f>
        <v>0</v>
      </c>
      <c r="AM21" s="253">
        <f>IF(ISNUMBER(STDEV(AM8:AM18)),STDEV(AM8:AM18),"-")</f>
        <v>0</v>
      </c>
      <c r="AN21" s="538">
        <f>IF(ISNUMBER(STDEV(AN8:AN18)),STDEV(AN8:AN18),"-")</f>
        <v>0</v>
      </c>
      <c r="AO21" s="539">
        <f>IF(ISNUMBER(STDEV(AO8:AO18)),STDEV(AO8:AO18),"-")</f>
        <v>2.4198810623181797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3fIulzxgLaH///l6J36na3ZDIblDxVyTJe8LNmUhA8FHkt+FyrAXkf+Xzn32z2OKpqqLTCNSIZcA/HDfgpxFRQ==" saltValue="JtFMTTRJMOSzuTCF8SrK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pZ34ldlFdeuLQExwJ7JR44ndegG9rzmvBTF7fEKkb1TdIzB9QKWc7al0VU7k8E4B6oY6nGDb4PmJXqTdReqGg==" saltValue="IOJJJg0UEc8kD06v1MHO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Pe59TtJXEBGfeQtyWmdRAWgGuHLZgpfX6xhllBT4++E/gycVk/GcFd2AtPvpJdMhg+E9yzSCie1bNLpPZnVA==" saltValue="YNvjaC7tDl0yL9pdPU8Xh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0.2857142857142857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0.20203050891044214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UystV4Dmz7JgipOytnQ10A/ZFmuBl3HSxXW2SdXiNIJ6hia6cPIXnKkE/kS1RJhDIWH9mPK8OaRMVoUnmjyvg==" saltValue="e7++eSNe2Z+hLYfB5qqO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Hn3IBw2T9lm8cELG5rqQTKartve86knkUVI4/cTtTYv3/fBgd2BwE2HMyiy+ZNuzSTrQZWn+mZe50NMGLWwA==" saltValue="hLiYiipFicm8LYegWbK/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CERVERA DE PISUERGA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2</v>
      </c>
      <c r="H10" s="403">
        <f>IF(ISNUMBER(G10/B10),G10/B10," - ")</f>
        <v>2</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604</v>
      </c>
      <c r="D12" s="403">
        <f>IF(ISNUMBER(C12/Datos!BH12),C12/Datos!BH12," - ")</f>
        <v>302</v>
      </c>
      <c r="E12" s="402">
        <f>IF(ISNUMBER(IF(J_V="SI",Datos!J12,Datos!J12+Datos!Z12)),IF(J_V="SI",Datos!J12,Datos!J12+Datos!Z12)," - ")</f>
        <v>186</v>
      </c>
      <c r="F12" s="403">
        <f>IF(ISNUMBER(E12/B12),E12/B12," - ")</f>
        <v>93</v>
      </c>
      <c r="G12" s="402">
        <f>IF(ISNUMBER(IF(J_V="SI",Datos!K12,Datos!K12+Datos!AA12)),IF(J_V="SI",Datos!K12,Datos!K12+Datos!AA12)," - ")</f>
        <v>201</v>
      </c>
      <c r="H12" s="403">
        <f>IF(ISNUMBER(G12/B12),G12/B12," - ")</f>
        <v>100.5</v>
      </c>
      <c r="I12" s="402">
        <f>IF(ISNUMBER(IF(J_V="SI",Datos!L12,Datos!L12+Datos!AB12)),IF(J_V="SI",Datos!L12,Datos!L12+Datos!AB12)," - ")</f>
        <v>589</v>
      </c>
      <c r="J12" s="403">
        <f>IF(ISNUMBER(I12/B12),I12/B12," - ")</f>
        <v>294.5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609</v>
      </c>
      <c r="D13" s="849" t="str">
        <f>IF(ISNUMBER(C13/Datos!BI13),C13/Datos!BI13," - ")</f>
        <v xml:space="preserve"> - </v>
      </c>
      <c r="E13" s="848">
        <f>SUBTOTAL(9,E8:E12)</f>
        <v>187</v>
      </c>
      <c r="F13" s="849">
        <f>IF(ISNUMBER(E13/B13),E13/B13," - ")</f>
        <v>93.5</v>
      </c>
      <c r="G13" s="848">
        <f>SUBTOTAL(9,G8:G12)</f>
        <v>203</v>
      </c>
      <c r="H13" s="849">
        <f>IF(ISNUMBER(G13/B13),G13/B13," - ")</f>
        <v>101.5</v>
      </c>
      <c r="I13" s="848">
        <f>SUBTOTAL(9,I8:I12)</f>
        <v>593</v>
      </c>
      <c r="J13" s="849">
        <f>IF(ISNUMBER(I13/B13),I13/B13," - ")</f>
        <v>296.5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635</v>
      </c>
      <c r="D16" s="403">
        <f>IF(ISNUMBER(C16/Datos!BH16),C16/Datos!BH16," - ")</f>
        <v>317.5</v>
      </c>
      <c r="E16" s="402">
        <f>IF(ISNUMBER(IF(D_I="SI",Datos!J16,Datos!J16+Datos!AD16)),IF(D_I="SI",Datos!J16,Datos!J16+Datos!AD16)," - ")</f>
        <v>309</v>
      </c>
      <c r="F16" s="403">
        <f>IF(ISNUMBER(E16/B16),E16/B16," - ")</f>
        <v>154.5</v>
      </c>
      <c r="G16" s="402">
        <f>IF(ISNUMBER(IF(D_I="SI",Datos!K16,Datos!K16+Datos!AE16)),IF(D_I="SI",Datos!K16,Datos!K16+Datos!AE16)," - ")</f>
        <v>186</v>
      </c>
      <c r="H16" s="403">
        <f>IF(ISNUMBER(G16/B16),G16/B16," - ")</f>
        <v>93</v>
      </c>
      <c r="I16" s="402">
        <f>IF(ISNUMBER(IF(D_I="SI",Datos!L16,Datos!L16+Datos!AF16)),IF(D_I="SI",Datos!L16,Datos!L16+Datos!AF16)," - ")</f>
        <v>766</v>
      </c>
      <c r="J16" s="403">
        <f>IF(ISNUMBER(I16/B16),I16/B16," - ")</f>
        <v>383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v>
      </c>
      <c r="D17" s="403">
        <f>IF(ISNUMBER(C17/Datos!BH17),C17/Datos!BH17," - ")</f>
        <v>34</v>
      </c>
      <c r="E17" s="402">
        <f>IF(ISNUMBER(IF(D_I="SI",Datos!J17,Datos!J17+Datos!AD17)),IF(D_I="SI",Datos!J17,Datos!J17+Datos!AD17)," - ")</f>
        <v>12</v>
      </c>
      <c r="F17" s="403">
        <f>IF(ISNUMBER(E17/B17),E17/B17," - ")</f>
        <v>12</v>
      </c>
      <c r="G17" s="402">
        <f>IF(ISNUMBER(IF(D_I="SI",Datos!K17,Datos!K17+Datos!AE17)),IF(D_I="SI",Datos!K17,Datos!K17+Datos!AE17)," - ")</f>
        <v>12</v>
      </c>
      <c r="H17" s="403">
        <f>IF(ISNUMBER(G17/B17),G17/B17," - ")</f>
        <v>12</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669</v>
      </c>
      <c r="D18" s="849" t="str">
        <f>IF(ISNUMBER(C18/Datos!BI18),C18/Datos!BI18," - ")</f>
        <v xml:space="preserve"> - </v>
      </c>
      <c r="E18" s="848">
        <f>SUBTOTAL(9,E14:E17)</f>
        <v>321</v>
      </c>
      <c r="F18" s="849">
        <f>IF(ISNUMBER(E18/B18),E18/B18," - ")</f>
        <v>160.5</v>
      </c>
      <c r="G18" s="848">
        <f>SUBTOTAL(9,G14:G17)</f>
        <v>198</v>
      </c>
      <c r="H18" s="849">
        <f>IF(ISNUMBER(G18/B18),G18/B18," - ")</f>
        <v>99</v>
      </c>
      <c r="I18" s="848">
        <f>SUBTOTAL(9,I14:I17)</f>
        <v>800</v>
      </c>
      <c r="J18" s="849">
        <f>IF(ISNUMBER(I18/B18),I18/B18," - ")</f>
        <v>400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1278</v>
      </c>
      <c r="D19" s="794" t="str">
        <f>IF(ISNUMBER(C19/Datos!BI19),C19/Datos!BI19," - ")</f>
        <v xml:space="preserve"> - </v>
      </c>
      <c r="E19" s="793">
        <f>SUBTOTAL(9,E9:E18)</f>
        <v>508</v>
      </c>
      <c r="F19" s="794">
        <f>IF(ISNUMBER(E19/B19),E19/B19," - ")</f>
        <v>254</v>
      </c>
      <c r="G19" s="793">
        <f>SUBTOTAL(9,G9:G18)</f>
        <v>401</v>
      </c>
      <c r="H19" s="794">
        <f>IF(ISNUMBER(G19/B19),G19/B19," - ")</f>
        <v>200.5</v>
      </c>
      <c r="I19" s="793">
        <f>SUBTOTAL(9,I9:I18)</f>
        <v>1393</v>
      </c>
      <c r="J19" s="794">
        <f>IF(ISNUMBER(I19/B19),I19/B19," - ")</f>
        <v>696.5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bJYiScFpnvPfgev4BEhsCGXf2uo40h3oV1xo0vFKq5b92nrvRqKgg2rCxdUplYZwMvgXjkNuYQZhIqdtT2HOg==" saltValue="Tl9oNvcZNxhxAAjF1ys0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58</v>
      </c>
      <c r="AM12" s="689">
        <f>IF(ISNUMBER(Datos!N12+DatosP!N16),Datos!N12+DatosP!N16," - ")</f>
        <v>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8.7910447761194028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-1.3274336283185841E-2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59</v>
      </c>
      <c r="AE13" s="938">
        <f t="shared" si="1"/>
        <v>0</v>
      </c>
      <c r="AF13" s="938">
        <f t="shared" si="1"/>
        <v>4</v>
      </c>
      <c r="AG13" s="938">
        <f t="shared" si="1"/>
        <v>0</v>
      </c>
      <c r="AH13" s="938">
        <f t="shared" si="1"/>
        <v>446</v>
      </c>
      <c r="AI13" s="938">
        <f t="shared" si="1"/>
        <v>0</v>
      </c>
      <c r="AJ13" s="938">
        <f t="shared" si="1"/>
        <v>0</v>
      </c>
      <c r="AK13" s="938">
        <f t="shared" si="1"/>
        <v>0</v>
      </c>
      <c r="AL13" s="938">
        <f t="shared" si="1"/>
        <v>58</v>
      </c>
      <c r="AM13" s="938">
        <f t="shared" si="1"/>
        <v>21</v>
      </c>
      <c r="AN13" s="938">
        <f t="shared" si="1"/>
        <v>0</v>
      </c>
      <c r="AO13" s="938">
        <f t="shared" si="1"/>
        <v>0</v>
      </c>
      <c r="AP13" s="943">
        <f>IF(ISNUMBER(((Datos!L13/Datos!K13)*11)/factor_trimestre),((Datos!L13/Datos!K13)*11)/factor_trimestre," - ")</f>
        <v>9.3977900552486187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v>
      </c>
      <c r="AU13" s="938" t="str">
        <f>IF(ISNUMBER((DatosP!#REF!-DatosP!#REF!+DatosP!#REF!)/(DatosP!#REF!+DatosP!#REF!-DatosP!#REF!-DatosP!#REF!)),(DatosP!#REF!-DatosP!#REF!+DatosP!#REF!)/(DatosP!#REF!+DatosP!#REF!-DatosP!#REF!-DatosP!#REF!)," - ")</f>
        <v xml:space="preserve"> - </v>
      </c>
      <c r="AV13" s="944">
        <f>SUBTOTAL(9,AV9:AV12)</f>
        <v>-1.3274336283185841E-2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12.121212121212123</v>
      </c>
      <c r="AQ18" s="943">
        <f>IF(ISNUMBER(((Datos!M18/Datos!L18)*11)/factor_trimestre),((Datos!M18/Datos!L18)*11)/factor_trimestre," - ")</f>
        <v>7.8750000000000001E-2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-8.8414634146341459E-2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59</v>
      </c>
      <c r="AE19" s="956">
        <f t="shared" si="5"/>
        <v>0</v>
      </c>
      <c r="AF19" s="957">
        <f t="shared" si="5"/>
        <v>4</v>
      </c>
      <c r="AG19" s="957">
        <f t="shared" si="5"/>
        <v>0</v>
      </c>
      <c r="AH19" s="957">
        <f t="shared" si="5"/>
        <v>446</v>
      </c>
      <c r="AI19" s="957">
        <f t="shared" si="5"/>
        <v>0</v>
      </c>
      <c r="AJ19" s="958">
        <f t="shared" si="5"/>
        <v>0</v>
      </c>
      <c r="AK19" s="958">
        <f t="shared" si="5"/>
        <v>0</v>
      </c>
      <c r="AL19" s="950">
        <f t="shared" si="5"/>
        <v>58</v>
      </c>
      <c r="AM19" s="950">
        <f t="shared" si="5"/>
        <v>21</v>
      </c>
      <c r="AN19" s="950">
        <f t="shared" si="5"/>
        <v>0</v>
      </c>
      <c r="AO19" s="950">
        <f t="shared" si="5"/>
        <v>0</v>
      </c>
      <c r="AP19" s="950">
        <f>IF(ISNUMBER(((Datos!L19/Datos!K19)*11)/factor_trimestre),((Datos!L19/Datos!K19)*11)/factor_trimestre," - ")</f>
        <v>10.820580474934037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-1.1764705882352941E-2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33.48631561299829</v>
      </c>
      <c r="AM21" s="735"/>
      <c r="AN21" s="735">
        <f>IF(ISNUMBER(STDEV(AN8:AN18)),STDEV(AN8:AN18),"-")</f>
        <v>0</v>
      </c>
      <c r="AO21" s="741">
        <f>IF(ISNUMBER(STDEV(AO8:AO18)),STDEV(AO8:AO18),"-")</f>
        <v>0</v>
      </c>
      <c r="AP21" s="778">
        <f>IF(ISNUMBER(STDEV(AP8:AP18)),STDEV(AP8:AP18),"-")</f>
        <v>2.5112966133747276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zQcaqo173MJOw93QF3ItdLHAobnfUAsNAM/MHHkvcjY5mxm5fDrLHv2a0QChDUrx5OvQS7IZSBYCikH5O8eog==" saltValue="aVYXIEWeEcVmPKpIA/Ed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CERVERA DE PISUERGA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FXoXj99zVtjKrrVjGpnI6verc4qZE/2Q2D4d9ENyq8pCs5sANNQrSOgiahOQnjCufsAoQGWsChj/tEwK3zDUQ==" saltValue="JEqitTDc1oG8YHyhi7xQ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CERVERA DE PISUERGA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58</v>
      </c>
      <c r="E12" s="403">
        <f t="shared" si="0"/>
        <v>29</v>
      </c>
      <c r="F12" s="402">
        <f>IF(ISNUMBER(Datos!N12),Datos!N12," - ")</f>
        <v>21</v>
      </c>
      <c r="G12" s="403">
        <f t="shared" si="1"/>
        <v>10.5</v>
      </c>
      <c r="H12" s="402">
        <f>IF(ISNUMBER(Datos!O12),Datos!O12," - ")</f>
        <v>94</v>
      </c>
      <c r="I12" s="403">
        <f t="shared" si="2"/>
        <v>47</v>
      </c>
      <c r="BZ12" s="1185">
        <f>Datos!EZ12</f>
        <v>0</v>
      </c>
    </row>
    <row r="13" spans="1:78" ht="14.25" thickTop="1" thickBot="1">
      <c r="A13" s="847" t="str">
        <f>Datos!A13</f>
        <v>TOTAL</v>
      </c>
      <c r="B13" s="848">
        <f>Datos!AP13</f>
        <v>2</v>
      </c>
      <c r="C13" s="850">
        <f>Datos!AR13</f>
        <v>2</v>
      </c>
      <c r="D13" s="848">
        <f>SUBTOTAL(9,D9:D12)</f>
        <v>58</v>
      </c>
      <c r="E13" s="849">
        <f t="shared" si="0"/>
        <v>29</v>
      </c>
      <c r="F13" s="848">
        <f>SUBTOTAL(9,F9:F12)</f>
        <v>21</v>
      </c>
      <c r="G13" s="849">
        <f t="shared" si="1"/>
        <v>10.5</v>
      </c>
      <c r="H13" s="848">
        <f>SUBTOTAL(9,H9:H12)</f>
        <v>94</v>
      </c>
      <c r="I13" s="849">
        <f>IF(ISNUMBER(H13/B13),H13/B13," - ")</f>
        <v>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v>
      </c>
      <c r="E16" s="403">
        <f t="shared" si="3"/>
        <v>10</v>
      </c>
      <c r="F16" s="402">
        <f>IF(ISNUMBER(Datos!N16),Datos!N16," - ")</f>
        <v>141</v>
      </c>
      <c r="G16" s="403">
        <f t="shared" si="4"/>
        <v>70.5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21</v>
      </c>
      <c r="E18" s="849">
        <f t="shared" si="3"/>
        <v>10.5</v>
      </c>
      <c r="F18" s="848">
        <f>SUBTOTAL(9,F15:F17)</f>
        <v>149</v>
      </c>
      <c r="G18" s="849">
        <f t="shared" si="4"/>
        <v>74.5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79</v>
      </c>
      <c r="E19" s="794">
        <f>IF(ISNUMBER(D19/B19),D19/B19," - ")</f>
        <v>39.5</v>
      </c>
      <c r="F19" s="793">
        <f>SUBTOTAL(9,F8:F18)</f>
        <v>170</v>
      </c>
      <c r="G19" s="794">
        <f>IF(ISNUMBER(F19/B19),F19/B19," - ")</f>
        <v>85</v>
      </c>
      <c r="H19" s="793">
        <f>SUBTOTAL(9,H8:H18)</f>
        <v>94</v>
      </c>
      <c r="I19" s="794">
        <f>IF(ISNUMBER(H19/B19),H19/B19," - ")</f>
        <v>47</v>
      </c>
    </row>
    <row r="22" spans="1:78">
      <c r="A22" s="390" t="str">
        <f>Criterios!A4</f>
        <v>Fecha Informe: 17 mar. 2026</v>
      </c>
    </row>
    <row r="27" spans="1:78">
      <c r="A27" s="413"/>
    </row>
  </sheetData>
  <sheetProtection algorithmName="SHA-512" hashValue="jlV6PkjB3N4xFSwLuVDY0+c+YaY7EWpRIPIQYBPBpDOLiskex6x3PiAL99RxH5g0uhEQ7VONeE7HnrTwlgwf7w==" saltValue="RaEVUAhw0cCyOS8zoSdy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CERVERA DE PISUERGA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v>
      </c>
      <c r="C12" s="433">
        <f>IF(ISNUMBER(Datos!Q12),Datos!Q12," - ")</f>
        <v>59</v>
      </c>
      <c r="D12" s="407">
        <f>IF(ISNUMBER(Datos!R12),Datos!R12," - ")</f>
        <v>446</v>
      </c>
    </row>
    <row r="13" spans="1:4" ht="14.25" thickTop="1" thickBot="1">
      <c r="A13" s="847" t="str">
        <f>Datos!A13</f>
        <v>TOTAL</v>
      </c>
      <c r="B13" s="848">
        <f>SUBTOTAL(9,B9:B12)</f>
        <v>53</v>
      </c>
      <c r="C13" s="852">
        <f>SUBTOTAL(9,C9:C12)</f>
        <v>59</v>
      </c>
      <c r="D13" s="850">
        <f>SUBTOTAL(9,D9:D12)</f>
        <v>446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58</v>
      </c>
    </row>
    <row r="19" spans="1:4" ht="16.5" customHeight="1" thickTop="1" thickBot="1">
      <c r="A19" s="792" t="str">
        <f>Datos!A19</f>
        <v>TOTAL JURISDICCIONES</v>
      </c>
      <c r="B19" s="797">
        <f>SUBTOTAL(9,B8:B18)</f>
        <v>53</v>
      </c>
      <c r="C19" s="798">
        <f>SUBTOTAL(9,C8:C18)</f>
        <v>59</v>
      </c>
      <c r="D19" s="799">
        <f>SUBTOTAL(9,D8:D18)</f>
        <v>504</v>
      </c>
    </row>
    <row r="20" spans="1:4" ht="7.5" customHeight="1"/>
    <row r="21" spans="1:4" ht="6" customHeight="1"/>
    <row r="22" spans="1:4">
      <c r="A22" s="390" t="str">
        <f>Criterios!A4</f>
        <v>Fecha Informe: 17 mar. 2026</v>
      </c>
    </row>
    <row r="27" spans="1:4">
      <c r="A27" s="413"/>
    </row>
  </sheetData>
  <sheetProtection algorithmName="SHA-512" hashValue="xzTltcyisEb3WlSLA7/vgC0JQtw1XhobxdIGaBzSauIffXc5gjnYA86rSRXHVp5cC1QqB8otCFCq7R5BtuPYyQ==" saltValue="8qcVfiTbJLktuxA5+dgM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CERVERA DE PISUERGA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-0.5</v>
      </c>
      <c r="D10" s="455">
        <f>IF(ISNUMBER((Datos!K10-Datos!U10)/Datos!U10),(Datos!K10-Datos!U10)/Datos!U10," - ")</f>
        <v>1</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3</v>
      </c>
      <c r="I10" s="455">
        <f>IF(ISNUMBER(((NºAsuntos!I10/NºAsuntos!G10)-Datos!BE10)/Datos!BE10),((NºAsuntos!I10/NºAsuntos!G10)-Datos!BE10)/Datos!BE10," - ")</f>
        <v>-0.6</v>
      </c>
      <c r="J10" s="460">
        <f>IF(ISNUMBER((('Resol  Asuntos'!D10/NºAsuntos!G10)-Datos!BF10)/Datos!BF10),(('Resol  Asuntos'!D10/NºAsuntos!G10)-Datos!BF10)/Datos!BF10," - ")</f>
        <v>-1</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0.37272727272727274</v>
      </c>
      <c r="C12" s="455">
        <f>IF(ISNUMBER(
   IF(J_V="SI",(Datos!J12-Datos!T12)/Datos!T12,(Datos!J12+Datos!Z12-(Datos!T12+Datos!AH12))/(Datos!T12+Datos!AH12))
     ),IF(J_V="SI",(Datos!J12-Datos!T12)/Datos!T12,(Datos!J12+Datos!Z12-(Datos!T12+Datos!AH12))/(Datos!T12+Datos!AH12))," - ")</f>
        <v>-0.35416666666666669</v>
      </c>
      <c r="D12" s="455">
        <f>IF(ISNUMBER(
   IF(J_V="SI",(Datos!K12-Datos!U12)/Datos!U12,(Datos!K12+Datos!AA12-(Datos!U12+Datos!AI12))/(Datos!U12+Datos!AI12))
     ),IF(J_V="SI",(Datos!K12-Datos!U12)/Datos!U12,(Datos!K12+Datos!AA12-(Datos!U12+Datos!AI12))/(Datos!U12+Datos!AI12))," - ")</f>
        <v>-4.2857142857142858E-2</v>
      </c>
      <c r="E12" s="455">
        <f>IF(ISNUMBER(
   IF(J_V="SI",(Datos!L12-Datos!V12)/Datos!V12,(Datos!L12+Datos!AB12-(Datos!V12+Datos!AJ12))/(Datos!V12+Datos!AJ12))
     ),IF(J_V="SI",(Datos!L12-Datos!V12)/Datos!V12,(Datos!L12+Datos!AB12-(Datos!V12+Datos!AJ12))/(Datos!V12+Datos!AJ12))," - ")</f>
        <v>0.13706563706563707</v>
      </c>
      <c r="F12" s="455">
        <f>IF(ISNUMBER((Datos!M12-Datos!W12)/Datos!W12),(Datos!M12-Datos!W12)/Datos!W12," - ")</f>
        <v>-0.23684210526315788</v>
      </c>
      <c r="G12" s="456">
        <f>IF(ISNUMBER((Datos!N12-Datos!X12)/Datos!X12),(Datos!N12-Datos!X12)/Datos!X12," - ")</f>
        <v>-0.68656716417910446</v>
      </c>
      <c r="H12" s="454">
        <f>IF(ISNUMBER(((NºAsuntos!G12/NºAsuntos!E12)-Datos!BD12)/Datos!BD12),((NºAsuntos!G12/NºAsuntos!E12)-Datos!BD12)/Datos!BD12," - ")</f>
        <v>0.48202764976958523</v>
      </c>
      <c r="I12" s="455">
        <f>IF(ISNUMBER(((NºAsuntos!I12/NºAsuntos!G12)-Datos!BE12)/Datos!BE12),((NºAsuntos!I12/NºAsuntos!G12)-Datos!BE12)/Datos!BE12," - ")</f>
        <v>0.18797902379991929</v>
      </c>
      <c r="J12" s="460">
        <f>IF(ISNUMBER((('Resol  Asuntos'!D12/NºAsuntos!G12)-Datos!BF12)/Datos!BF12),(('Resol  Asuntos'!D12/NºAsuntos!G12)-Datos!BF12)/Datos!BF12," - ")</f>
        <v>-9.556694141234115E-2</v>
      </c>
      <c r="K12" s="461">
        <f>IF(ISNUMBER((((NºAsuntos!C12+NºAsuntos!E12)/NºAsuntos!G12)-Datos!BG12)/Datos!BG12),(((NºAsuntos!C12+NºAsuntos!E12)/NºAsuntos!G12)-Datos!BG12)/Datos!BG12," - ")</f>
        <v>0.13375430539609642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0.3716216216216216</v>
      </c>
      <c r="C13" s="854">
        <f>IF(ISNUMBER(
   IF(J_V="SI",(Datos!J13-Datos!T13)/Datos!T13,(Datos!J13+Datos!Z13-(Datos!T13+Datos!AH13))/(Datos!T13+Datos!AH13))
     ),IF(J_V="SI",(Datos!J13-Datos!T13)/Datos!T13,(Datos!J13+Datos!Z13-(Datos!T13+Datos!AH13))/(Datos!T13+Datos!AH13))," - ")</f>
        <v>-0.35517241379310344</v>
      </c>
      <c r="D13" s="854">
        <f>IF(ISNUMBER(
   IF(J_V="SI",(Datos!K13-Datos!U13)/Datos!U13,(Datos!K13+Datos!AA13-(Datos!U13+Datos!AI13))/(Datos!U13+Datos!AI13))
     ),IF(J_V="SI",(Datos!K13-Datos!U13)/Datos!U13,(Datos!K13+Datos!AA13-(Datos!U13+Datos!AI13))/(Datos!U13+Datos!AI13))," - ")</f>
        <v>-3.7914691943127965E-2</v>
      </c>
      <c r="E13" s="854">
        <f>IF(ISNUMBER(
   IF(J_V="SI",(Datos!L13-Datos!V13)/Datos!V13,(Datos!L13+Datos!AB13-(Datos!V13+Datos!AJ13))/(Datos!V13+Datos!AJ13))
     ),IF(J_V="SI",(Datos!L13-Datos!V13)/Datos!V13,(Datos!L13+Datos!AB13-(Datos!V13+Datos!AJ13))/(Datos!V13+Datos!AJ13))," - ")</f>
        <v>0.13384321223709369</v>
      </c>
      <c r="F13" s="855">
        <f>IF(ISNUMBER((Datos!M13-Datos!W13)/Datos!W13),(Datos!M13-Datos!W13)/Datos!W13," - ")</f>
        <v>-0.24675324675324675</v>
      </c>
      <c r="G13" s="856">
        <f>IF(ISNUMBER((Datos!N13-Datos!X13)/Datos!X13),(Datos!N13-Datos!X13)/Datos!X13," - ")</f>
        <v>-0.68656716417910446</v>
      </c>
      <c r="H13" s="856">
        <f>IF(ISNUMBER(((NºAsuntos!G13/NºAsuntos!E13)-Datos!BD13)/Datos!BD13),((NºAsuntos!G13/NºAsuntos!E13)-Datos!BD13)/Datos!BD13," - ")</f>
        <v>0.49200395367108479</v>
      </c>
      <c r="I13" s="856">
        <f>IF(ISNUMBER(((NºAsuntos!I13/NºAsuntos!G13)-Datos!BE13)/Datos!BE13),((NºAsuntos!I13/NºAsuntos!G13)-Datos!BE13)/Datos!BE13," - ")</f>
        <v>0.1785266885814126</v>
      </c>
      <c r="J13" s="856">
        <f>IF(ISNUMBER((('Resol  Asuntos'!D13/NºAsuntos!G13)-Datos!BF13)/Datos!BF13),(('Resol  Asuntos'!D13/NºAsuntos!G13)-Datos!BF13)/Datos!BF13," - ")</f>
        <v>-0.11344537815126055</v>
      </c>
      <c r="K13" s="856">
        <f>IF(ISNUMBER((((NºAsuntos!C13+NºAsuntos!E13)/NºAsuntos!G13)-Datos!BG13)/Datos!BG13),(((NºAsuntos!C13+NºAsuntos!E13)/NºAsuntos!G13)-Datos!BG13)/Datos!BG13," - ")</f>
        <v>0.1272063462235406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0.1319073083778966</v>
      </c>
      <c r="C16" s="455">
        <f>IF(ISNUMBER(
   IF(D_I="SI",(Datos!J16-Datos!T16)/Datos!T16,(Datos!J16+Datos!AD16-(Datos!T16+Datos!AL16))/(Datos!T16+Datos!AL16))
     ),IF(D_I="SI",(Datos!J16-Datos!T16)/Datos!T16,(Datos!J16+Datos!AD16-(Datos!T16+Datos!AL16))/(Datos!T16+Datos!AL16))," - ")</f>
        <v>0.34347826086956523</v>
      </c>
      <c r="D16" s="455">
        <f>IF(ISNUMBER(
   IF(D_I="SI",(Datos!K16-Datos!U16)/Datos!U16,(Datos!K16+Datos!AE16-(Datos!U16+Datos!AM16))/(Datos!U16+Datos!AM16))
     ),IF(D_I="SI",(Datos!K16-Datos!U16)/Datos!U16,(Datos!K16+Datos!AE16-(Datos!U16+Datos!AM16))/(Datos!U16+Datos!AM16))," - ")</f>
        <v>-0.28185328185328185</v>
      </c>
      <c r="E16" s="455">
        <f>IF(ISNUMBER(
   IF(D_I="SI",(Datos!L16-Datos!V16)/Datos!V16,(Datos!L16+Datos!AF16-(Datos!V16+Datos!AN16))/(Datos!V16+Datos!AN16))
     ),IF(D_I="SI",(Datos!L16-Datos!V16)/Datos!V16,(Datos!L16+Datos!AF16-(Datos!V16+Datos!AN16))/(Datos!V16+Datos!AN16))," - ")</f>
        <v>0.41328413284132842</v>
      </c>
      <c r="F16" s="455">
        <f>IF(ISNUMBER((Datos!M16-Datos!W16)/Datos!W16),(Datos!M16-Datos!W16)/Datos!W16," - ")</f>
        <v>-0.48717948717948717</v>
      </c>
      <c r="G16" s="456">
        <f>IF(ISNUMBER((Datos!N16-Datos!X16)/Datos!X16),(Datos!N16-Datos!X16)/Datos!X16," - ")</f>
        <v>3.6764705882352942E-2</v>
      </c>
      <c r="H16" s="454">
        <f>IF(ISNUMBER(((NºAsuntos!G16/NºAsuntos!E16)-Datos!BD16)/Datos!BD16),((NºAsuntos!G16/NºAsuntos!E16)-Datos!BD16)/Datos!BD16," - ")</f>
        <v>-0.46545713536004801</v>
      </c>
      <c r="I16" s="455">
        <f>IF(ISNUMBER(((NºAsuntos!I16/NºAsuntos!G16)-Datos!BE16)/Datos!BE16),((NºAsuntos!I16/NºAsuntos!G16)-Datos!BE16)/Datos!BE16," - ")</f>
        <v>0.96796016347260261</v>
      </c>
      <c r="J16" s="460">
        <f>IF(ISNUMBER((('Resol  Asuntos'!D16/NºAsuntos!G16)-Datos!BF16)/Datos!BF16),(('Resol  Asuntos'!D16/NºAsuntos!G16)-Datos!BF16)/Datos!BF16," - ")</f>
        <v>-0.2859112213950924</v>
      </c>
      <c r="K16" s="461">
        <f>IF(ISNUMBER((((NºAsuntos!C16+NºAsuntos!E16)/NºAsuntos!G16)-Datos!BG16)/Datos!BG16),(((NºAsuntos!C16+NºAsuntos!E16)/NºAsuntos!G16)-Datos!BG16)/Datos!BG16," - ")</f>
        <v>0.66181368350937297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-8.1081081081081086E-2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-0.29411764705882354</v>
      </c>
      <c r="E17" s="455">
        <f>IF(ISNUMBER(
   IF(D_I="SI",(Datos!L17-Datos!V17)/Datos!V17,(Datos!L17+Datos!AF17-(Datos!V17+Datos!AN17))/(Datos!V17+Datos!AN17))
     ),IF(D_I="SI",(Datos!L17-Datos!V17)/Datos!V17,(Datos!L17+Datos!AF17-(Datos!V17+Datos!AN17))/(Datos!V17+Datos!AN17))," - ")</f>
        <v>6.25E-2</v>
      </c>
      <c r="F17" s="455">
        <f>IF(ISNUMBER((Datos!M17-Datos!W17)/Datos!W17),(Datos!M17-Datos!W17)/Datos!W17," - ")</f>
        <v>-0.5</v>
      </c>
      <c r="G17" s="456">
        <f>IF(ISNUMBER((Datos!N17-Datos!X17)/Datos!X17),(Datos!N17-Datos!X17)/Datos!X17," - ")</f>
        <v>0.33333333333333331</v>
      </c>
      <c r="H17" s="454">
        <f>IF(ISNUMBER(((NºAsuntos!G17/NºAsuntos!E17)-Datos!BD17)/Datos!BD17),((NºAsuntos!G17/NºAsuntos!E17)-Datos!BD17)/Datos!BD17," - ")</f>
        <v>-0.29411764705882354</v>
      </c>
      <c r="I17" s="455">
        <f>IF(ISNUMBER(((NºAsuntos!I17/NºAsuntos!G17)-Datos!BE17)/Datos!BE17),((NºAsuntos!I17/NºAsuntos!G17)-Datos!BE17)/Datos!BE17," - ")</f>
        <v>0.50520833333333348</v>
      </c>
      <c r="J17" s="460">
        <f>IF(ISNUMBER((('Resol  Asuntos'!D17/NºAsuntos!G17)-Datos!BF17)/Datos!BF17),(('Resol  Asuntos'!D17/NºAsuntos!G17)-Datos!BF17)/Datos!BF17," - ")</f>
        <v>-0.29166666666666669</v>
      </c>
      <c r="K17" s="461">
        <f>IF(ISNUMBER((((NºAsuntos!C17+NºAsuntos!E17)/NºAsuntos!G17)-Datos!BG17)/Datos!BG17),(((NºAsuntos!C17+NºAsuntos!E17)/NºAsuntos!G17)-Datos!BG17)/Datos!BG17," - ")</f>
        <v>0.32993197278911574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0.11872909698996656</v>
      </c>
      <c r="C18" s="854">
        <f>IF(ISNUMBER(
   IF(Criterios!B14="SI",(Datos!J18-Datos!T18)/Datos!T18,(Datos!J18+Datos!AD18-(Datos!T18+Datos!AL18))/(Datos!T18+Datos!AL18))
     ),IF(Criterios!B14="SI",(Datos!J18-Datos!T18)/Datos!T18,(Datos!J18+Datos!AD18-(Datos!T18+Datos!AL18))/(Datos!T18+Datos!AL18))," - ")</f>
        <v>0.32644628099173556</v>
      </c>
      <c r="D18" s="854">
        <f>IF(ISNUMBER(
   IF(Criterios!B14="SI",(Datos!K18-Datos!U18)/Datos!U18,(Datos!K18+Datos!AE18-(Datos!U18+Datos!AM18))/(Datos!U18+Datos!AM18))
     ),IF(Criterios!B14="SI",(Datos!K18-Datos!U18)/Datos!U18,(Datos!K18+Datos!AE18-(Datos!U18+Datos!AM18))/(Datos!U18+Datos!AM18))," - ")</f>
        <v>-0.28260869565217389</v>
      </c>
      <c r="E18" s="854">
        <f>IF(ISNUMBER(
   IF(Criterios!B14="SI",(Datos!L18-Datos!V18)/Datos!V18,(Datos!L18+Datos!AF18-(Datos!V18+Datos!AN18))/(Datos!V18+Datos!AN18))
     ),IF(Criterios!B14="SI",(Datos!L18-Datos!V18)/Datos!V18,(Datos!L18+Datos!AF18-(Datos!V18+Datos!AN18))/(Datos!V18+Datos!AN18))," - ")</f>
        <v>0.39372822299651566</v>
      </c>
      <c r="F18" s="855">
        <f>IF(ISNUMBER((Datos!M18-Datos!W18)/Datos!W18),(Datos!M18-Datos!W18)/Datos!W18," - ")</f>
        <v>-0.48780487804878048</v>
      </c>
      <c r="G18" s="856">
        <f>IF(ISNUMBER((Datos!N18-Datos!X18)/Datos!X18),(Datos!N18-Datos!X18)/Datos!X18," - ")</f>
        <v>4.9295774647887321E-2</v>
      </c>
      <c r="H18" s="856">
        <f>IF(ISNUMBER(((NºAsuntos!G18/NºAsuntos!E18)-Datos!BD18)/Datos!BD18),((NºAsuntos!G18/NºAsuntos!E18)-Datos!BD18)/Datos!BD18," - ")</f>
        <v>-0.45916294189353923</v>
      </c>
      <c r="I18" s="856">
        <f>IF(ISNUMBER(((NºAsuntos!I18/NºAsuntos!G18)-Datos!BE18)/Datos!BE18),((NºAsuntos!I18/NºAsuntos!G18)-Datos!BE18)/Datos!BE18," - ")</f>
        <v>0.9427726744799918</v>
      </c>
      <c r="J18" s="856">
        <f>IF(ISNUMBER((('Resol  Asuntos'!D18/NºAsuntos!G18)-Datos!BF18)/Datos!BF18),(('Resol  Asuntos'!D18/NºAsuntos!G18)-Datos!BF18)/Datos!BF18," - ")</f>
        <v>-0.28603104212860303</v>
      </c>
      <c r="K18" s="856">
        <f>IF(ISNUMBER((((NºAsuntos!C18+NºAsuntos!E18)/NºAsuntos!G18)-Datos!BG18)/Datos!BG18),(((NºAsuntos!C18+NºAsuntos!E18)/NºAsuntos!G18)-Datos!BG18)/Datos!BG18," - ")</f>
        <v>0.64285714285714279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0.22648752399232247</v>
      </c>
      <c r="C19" s="801">
        <f>IF(ISNUMBER(
   IF(J_V="SI",(Datos!J19-Datos!T19)/Datos!T19,(Datos!J19+Datos!Z19-(Datos!T19+Datos!AH19))/(Datos!T19+Datos!AH19))
     ),IF(J_V="SI",(Datos!J19-Datos!T19)/Datos!T19,(Datos!J19+Datos!Z19-(Datos!T19+Datos!AH19))/(Datos!T19+Datos!AH19))," - ")</f>
        <v>-4.5112781954887216E-2</v>
      </c>
      <c r="D19" s="801">
        <f>IF(ISNUMBER(
   IF(J_V="SI",(Datos!K19-Datos!U19)/Datos!U19,(Datos!K19+Datos!AA19-(Datos!U19+Datos!AI19))/(Datos!U19+Datos!AI19))
     ),IF(J_V="SI",(Datos!K19-Datos!U19)/Datos!U19,(Datos!K19+Datos!AA19-(Datos!U19+Datos!AI19))/(Datos!U19+Datos!AI19))," - ")</f>
        <v>-0.17659137577002054</v>
      </c>
      <c r="E19" s="801">
        <f>IF(ISNUMBER(
   IF(J_V="SI",(Datos!L19-Datos!V19)/Datos!V19,(Datos!L19+Datos!AB19-(Datos!V19+Datos!AJ19))/(Datos!V19+Datos!AJ19))
     ),IF(J_V="SI",(Datos!L19-Datos!V19)/Datos!V19,(Datos!L19+Datos!AB19-(Datos!V19+Datos!AJ19))/(Datos!V19+Datos!AJ19))," - ")</f>
        <v>0.2698268003646308</v>
      </c>
      <c r="F19" s="802">
        <f>IF(ISNUMBER((Datos!M19-Datos!W19)/Datos!W19),(Datos!M19-Datos!W19)/Datos!W19," - ")</f>
        <v>-0.33050847457627119</v>
      </c>
      <c r="G19" s="803">
        <f>IF(ISNUMBER((Datos!N19-Datos!X19)/Datos!X19),(Datos!N19-Datos!X19)/Datos!X19," - ")</f>
        <v>-0.18660287081339713</v>
      </c>
      <c r="H19" s="804">
        <f>IF(ISNUMBER((Tasas!B19-Datos!BD19)/Datos!BD19),(Tasas!B19-Datos!BD19)/Datos!BD19," - ")</f>
        <v>-0.13769018092450963</v>
      </c>
      <c r="I19" s="805">
        <f>IF(ISNUMBER((Tasas!C19-Datos!BE19)/Datos!BE19),(Tasas!C19-Datos!BE19)/Datos!BE19," - ")</f>
        <v>0.5421587326124071</v>
      </c>
      <c r="J19" s="806">
        <f>IF(ISNUMBER((Tasas!D19-Datos!BF19)/Datos!BF19),(Tasas!D19-Datos!BF19)/Datos!BF19," - ")</f>
        <v>-0.11979226246310824</v>
      </c>
      <c r="K19" s="806">
        <f>IF(ISNUMBER((Tasas!E19-Datos!BG19)/Datos!BG19),(Tasas!E19-Datos!BG19)/Datos!BG19," - ")</f>
        <v>0.3780383856115746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irTvcCZ+Mknkp+iz6InvHaE2Bk0c6JAJe3Y7S7p8ew5df/ij/v2kQed/6kRYuAQs5BP045fIVg4c6N6lmRYUw==" saltValue="bRWwQMHhE5aZKPUUVCAH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CERVERA DE PISUERGA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1.0806451612903225</v>
      </c>
      <c r="C12" s="442">
        <f>IF(ISNUMBER(NºAsuntos!I12/NºAsuntos!G12),NºAsuntos!I12/NºAsuntos!G12," - ")</f>
        <v>2.9303482587064678</v>
      </c>
      <c r="D12" s="443">
        <f>IF(ISNUMBER('Resol  Asuntos'!D12/NºAsuntos!G12),'Resol  Asuntos'!D12/NºAsuntos!G12," - ")</f>
        <v>0.28855721393034828</v>
      </c>
      <c r="E12" s="444">
        <f>IF(ISNUMBER((NºAsuntos!C12+NºAsuntos!E12)/NºAsuntos!G12),(NºAsuntos!C12+NºAsuntos!E12)/NºAsuntos!G12," - ")</f>
        <v>3.9303482587064678</v>
      </c>
      <c r="G12" s="462"/>
    </row>
    <row r="13" spans="1:7" ht="14.25" thickTop="1" thickBot="1">
      <c r="A13" s="847" t="str">
        <f>Datos!A13</f>
        <v>TOTAL</v>
      </c>
      <c r="B13" s="857">
        <f>IF(ISNUMBER(NºAsuntos!G13/NºAsuntos!E13),NºAsuntos!G13/NºAsuntos!E13," - ")</f>
        <v>1.0855614973262031</v>
      </c>
      <c r="C13" s="858">
        <f>IF(ISNUMBER(NºAsuntos!I13/NºAsuntos!G13),NºAsuntos!I13/NºAsuntos!G13," - ")</f>
        <v>2.9211822660098523</v>
      </c>
      <c r="D13" s="859">
        <f>IF(ISNUMBER('Resol  Asuntos'!D13/NºAsuntos!G13),'Resol  Asuntos'!D13/NºAsuntos!G13," - ")</f>
        <v>0.2857142857142857</v>
      </c>
      <c r="E13" s="860">
        <f>IF(ISNUMBER((NºAsuntos!C13+NºAsuntos!E13)/NºAsuntos!G13),(NºAsuntos!C13+NºAsuntos!E13)/NºAsuntos!G13," - ")</f>
        <v>3.9211822660098523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0.60194174757281549</v>
      </c>
      <c r="C16" s="442">
        <f>IF(ISNUMBER(NºAsuntos!I16/NºAsuntos!G16),NºAsuntos!I16/NºAsuntos!G16," - ")</f>
        <v>4.118279569892473</v>
      </c>
      <c r="D16" s="443">
        <f>IF(ISNUMBER('Resol  Asuntos'!D16/NºAsuntos!G16),'Resol  Asuntos'!D16/NºAsuntos!G16," - ")</f>
        <v>0.10752688172043011</v>
      </c>
      <c r="E16" s="444">
        <f>IF(ISNUMBER((NºAsuntos!C16+NºAsuntos!E16)/NºAsuntos!G16),(NºAsuntos!C16+NºAsuntos!E16)/NºAsuntos!G16," - ")</f>
        <v>5.075268817204301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2.8333333333333335</v>
      </c>
      <c r="D17" s="443">
        <f>IF(ISNUMBER('Resol  Asuntos'!D17/NºAsuntos!G17),'Resol  Asuntos'!D17/NºAsuntos!G17," - ")</f>
        <v>8.3333333333333329E-2</v>
      </c>
      <c r="E17" s="444">
        <f>IF(ISNUMBER((NºAsuntos!C17+NºAsuntos!E17)/NºAsuntos!G17),(NºAsuntos!C17+NºAsuntos!E17)/NºAsuntos!G17," - ")</f>
        <v>3.8333333333333335</v>
      </c>
      <c r="G17" s="462"/>
    </row>
    <row r="18" spans="1:7" ht="14.25" thickTop="1" thickBot="1">
      <c r="A18" s="847" t="str">
        <f>Datos!A18</f>
        <v>TOTAL</v>
      </c>
      <c r="B18" s="857">
        <f>IF(ISNUMBER(NºAsuntos!G18/NºAsuntos!E18),NºAsuntos!G18/NºAsuntos!E18," - ")</f>
        <v>0.61682242990654201</v>
      </c>
      <c r="C18" s="858">
        <f>IF(ISNUMBER(NºAsuntos!I18/NºAsuntos!G18),NºAsuntos!I18/NºAsuntos!G18," - ")</f>
        <v>4.0404040404040407</v>
      </c>
      <c r="D18" s="861">
        <f>IF(ISNUMBER('Resol  Asuntos'!D18/NºAsuntos!G18),'Resol  Asuntos'!D18/NºAsuntos!G18," - ")</f>
        <v>0.10606060606060606</v>
      </c>
      <c r="E18" s="860">
        <f>IF(ISNUMBER((NºAsuntos!C18+NºAsuntos!E18)/NºAsuntos!G18),(NºAsuntos!C18+NºAsuntos!E18)/NºAsuntos!G18," - ")</f>
        <v>5</v>
      </c>
      <c r="G18" s="462"/>
    </row>
    <row r="19" spans="1:7" ht="15.75" customHeight="1" thickTop="1" thickBot="1">
      <c r="A19" s="792" t="str">
        <f>Datos!A19</f>
        <v>TOTAL JURISDICCIONES</v>
      </c>
      <c r="B19" s="807">
        <f>IF(ISNUMBER(NºAsuntos!G19/NºAsuntos!E19),NºAsuntos!G19/NºAsuntos!E19," - ")</f>
        <v>0.78937007874015752</v>
      </c>
      <c r="C19" s="808">
        <f>IF(ISNUMBER(NºAsuntos!I19/NºAsuntos!G19),NºAsuntos!I19/NºAsuntos!G19," - ")</f>
        <v>3.4738154613466334</v>
      </c>
      <c r="D19" s="809">
        <f>IF(ISNUMBER('Resol  Asuntos'!D19/NºAsuntos!G19),'Resol  Asuntos'!D19/NºAsuntos!G19," - ")</f>
        <v>0.1970074812967581</v>
      </c>
      <c r="E19" s="810">
        <f>IF(ISNUMBER((NºAsuntos!C19+NºAsuntos!E19)/NºAsuntos!G19),(NºAsuntos!C19+NºAsuntos!E19)/NºAsuntos!G19," - ")</f>
        <v>4.453865336658354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Eg+Hou/Rj8CdJiaeZGT3PWSuefdXw3wzfRox50YltT+Y+30a1GFHwcUlB/6+RWqldasZBL38As75Cqki0J3FA==" saltValue="eT5o68TSTdT0qCzlYClq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CERVERA DE PISUERGA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v>
      </c>
      <c r="AJ12" s="228" t="str">
        <f>IF(ISNUMBER(Datos!BW12),Datos!BW12," - ")</f>
        <v xml:space="preserve"> - </v>
      </c>
      <c r="AK12" s="227" t="str">
        <f>IF(ISNUMBER(Datos!BX12),Datos!BX12," - ")</f>
        <v xml:space="preserve"> - </v>
      </c>
      <c r="AL12" s="242">
        <f>IF(ISNUMBER(NºAsuntos!G12/NºAsuntos!E12),NºAsuntos!G12/NºAsuntos!E12," - ")</f>
        <v>1.0806451612903225</v>
      </c>
      <c r="AM12" s="259">
        <f>IF(ISNUMBER(((NºAsuntos!I12/NºAsuntos!G12)*11)/factor_trimestre),((NºAsuntos!I12/NºAsuntos!G12)*11)/factor_trimestre," - ")</f>
        <v>8.7910447761194028</v>
      </c>
      <c r="AN12" s="243">
        <f>IF(ISNUMBER('Resol  Asuntos'!D12/NºAsuntos!G12),'Resol  Asuntos'!D12/NºAsuntos!G12," - ")</f>
        <v>0.28855721393034828</v>
      </c>
      <c r="AO12" s="244">
        <f>IF(ISNUMBER((NºAsuntos!C12+NºAsuntos!E12)/NºAsuntos!G12),(NºAsuntos!C12+NºAsuntos!E12)/NºAsuntos!G12," - ")</f>
        <v>3.9303482587064678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59</v>
      </c>
      <c r="Y13" s="867">
        <f t="shared" si="4"/>
        <v>61</v>
      </c>
      <c r="Z13" s="867">
        <f t="shared" si="4"/>
        <v>0</v>
      </c>
      <c r="AA13" s="867">
        <f t="shared" si="4"/>
        <v>4</v>
      </c>
      <c r="AB13" s="867">
        <f t="shared" si="4"/>
        <v>446</v>
      </c>
      <c r="AC13" s="867">
        <f t="shared" si="4"/>
        <v>4</v>
      </c>
      <c r="AD13" s="867">
        <f t="shared" si="4"/>
        <v>0</v>
      </c>
      <c r="AE13" s="871">
        <f t="shared" si="4"/>
        <v>0</v>
      </c>
      <c r="AF13" s="864">
        <f t="shared" si="4"/>
        <v>0</v>
      </c>
      <c r="AG13" s="872">
        <f t="shared" si="4"/>
        <v>0</v>
      </c>
      <c r="AH13" s="869">
        <f t="shared" si="4"/>
        <v>0</v>
      </c>
      <c r="AI13" s="864">
        <f t="shared" si="4"/>
        <v>58</v>
      </c>
      <c r="AJ13" s="866">
        <f t="shared" si="4"/>
        <v>0</v>
      </c>
      <c r="AK13" s="869">
        <f>SUBTOTAL(9,AK9:AK12)</f>
        <v>0</v>
      </c>
      <c r="AL13" s="873">
        <f>IF(ISNUMBER(NºAsuntos!G13/NºAsuntos!E13),NºAsuntos!G13/NºAsuntos!E13," - ")</f>
        <v>1.0855614973262031</v>
      </c>
      <c r="AM13" s="873">
        <f>IF(ISNUMBER(((NºAsuntos!I13/NºAsuntos!G13)*11)/factor_trimestre),((NºAsuntos!I13/NºAsuntos!G13)*11)/factor_trimestre," - ")</f>
        <v>8.7635467980295569</v>
      </c>
      <c r="AN13" s="874">
        <f>IF(ISNUMBER('Resol  Asuntos'!D13/NºAsuntos!G13),'Resol  Asuntos'!D13/NºAsuntos!G13," - ")</f>
        <v>0.2857142857142857</v>
      </c>
      <c r="AO13" s="875">
        <f>IF(ISNUMBER((NºAsuntos!C13+NºAsuntos!E13)/NºAsuntos!G13),(NºAsuntos!C13+NºAsuntos!E13)/NºAsuntos!G13," - ")</f>
        <v>3.9211822660098523</v>
      </c>
      <c r="AP13" s="876" t="str">
        <f t="shared" si="2"/>
        <v xml:space="preserve"> - </v>
      </c>
      <c r="AQ13" s="876">
        <f>IF(ISNUMBER((H13-W13+K13)/(F13)),(H13-W13+K13)/(F13)," - ")</f>
        <v>-0.4</v>
      </c>
      <c r="AR13" s="877">
        <f>IF(ISNUMBER((Datos!P13-Datos!Q13)/(Datos!R13-Datos!P13+Datos!Q13)),(Datos!P13-Datos!Q13)/(Datos!R13-Datos!P13+Datos!Q13)," - ")</f>
        <v>-1.3274336283185841E-2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643</v>
      </c>
      <c r="G16" s="332">
        <f>IF(ISNUMBER(IF(D_I="SI",Datos!I16,Datos!I16+Datos!AC16)),IF(D_I="SI",Datos!I16,Datos!I16+Datos!AC16)," - ")</f>
        <v>635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186</v>
      </c>
      <c r="X16" s="225">
        <f>IF(ISNUMBER(Datos!Q16),Datos!Q16," - ")</f>
        <v>0</v>
      </c>
      <c r="Y16" s="333">
        <f t="shared" ref="Y16:Y17" si="7">SUM(W16:X16)</f>
        <v>186</v>
      </c>
      <c r="Z16" s="334" t="str">
        <f>IF(ISNUMBER(Datos!CC16),Datos!CC16," - ")</f>
        <v xml:space="preserve"> - </v>
      </c>
      <c r="AA16" s="331">
        <f>IF(ISNUMBER(IF(D_I="SI",Datos!L16,Datos!L16+Datos!AF16)),IF(D_I="SI",Datos!L16,Datos!L16+Datos!AF16)," - ")</f>
        <v>766</v>
      </c>
      <c r="AB16" s="333">
        <f>IF(ISNUMBER(Datos!R16),Datos!R16," - ")</f>
        <v>58</v>
      </c>
      <c r="AC16" s="333">
        <f t="shared" si="6"/>
        <v>824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0.60194174757281549</v>
      </c>
      <c r="AM16" s="259">
        <f>IF(ISNUMBER(((NºAsuntos!I16/NºAsuntos!G16)*11)/factor_trimestre),((NºAsuntos!I16/NºAsuntos!G16)*11)/factor_trimestre," - ")</f>
        <v>12.354838709677418</v>
      </c>
      <c r="AN16" s="243">
        <f>IF(ISNUMBER('Resol  Asuntos'!D16/NºAsuntos!G16),'Resol  Asuntos'!D16/NºAsuntos!G16," - ")</f>
        <v>0.10752688172043011</v>
      </c>
      <c r="AO16" s="244">
        <f>IF(ISNUMBER((NºAsuntos!C16+NºAsuntos!E16)/NºAsuntos!G16),(NºAsuntos!C16+NºAsuntos!E16)/NºAsuntos!G16," - ")</f>
        <v>5.075268817204301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8.5</v>
      </c>
      <c r="AN17" s="243">
        <f>IF(ISNUMBER('Resol  Asuntos'!D17/NºAsuntos!G17),'Resol  Asuntos'!D17/NºAsuntos!G17," - ")</f>
        <v>8.3333333333333329E-2</v>
      </c>
      <c r="AO17" s="244">
        <f>IF(ISNUMBER((NºAsuntos!C17+NºAsuntos!E17)/NºAsuntos!G17),(NºAsuntos!C17+NºAsuntos!E17)/NºAsuntos!G17," - ")</f>
        <v>3.8333333333333335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643</v>
      </c>
      <c r="G18" s="865">
        <f>SUBTOTAL(9,G15:G17)</f>
        <v>669</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198</v>
      </c>
      <c r="X18" s="866">
        <f t="shared" si="11"/>
        <v>0</v>
      </c>
      <c r="Y18" s="867">
        <f t="shared" si="11"/>
        <v>198</v>
      </c>
      <c r="Z18" s="867">
        <f t="shared" si="11"/>
        <v>0</v>
      </c>
      <c r="AA18" s="867">
        <f t="shared" si="11"/>
        <v>800</v>
      </c>
      <c r="AB18" s="867">
        <f t="shared" si="11"/>
        <v>58</v>
      </c>
      <c r="AC18" s="867">
        <f t="shared" si="11"/>
        <v>858</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0.61682242990654201</v>
      </c>
      <c r="AM18" s="873">
        <f>IF(ISNUMBER(((NºAsuntos!I18/NºAsuntos!G18)*11)/factor_trimestre),((NºAsuntos!I18/NºAsuntos!G18)*11)/factor_trimestre," - ")</f>
        <v>12.121212121212123</v>
      </c>
      <c r="AN18" s="874">
        <f>IF(ISNUMBER('Resol  Asuntos'!D18/NºAsuntos!G18),'Resol  Asuntos'!D18/NºAsuntos!G18," - ")</f>
        <v>0.10606060606060606</v>
      </c>
      <c r="AO18" s="875">
        <f>IF(ISNUMBER((NºAsuntos!C18+NºAsuntos!E18)/NºAsuntos!G18),(NºAsuntos!C18+NºAsuntos!E18)/NºAsuntos!G18," - ")</f>
        <v>5</v>
      </c>
      <c r="AP18" s="876" t="str">
        <f t="shared" si="2"/>
        <v xml:space="preserve"> - </v>
      </c>
      <c r="AQ18" s="876">
        <f>IF(ISNUMBER((H18-W18+K18)/(F18)),(H18-W18+K18)/(F18)," - ")</f>
        <v>-0.30793157076205285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648</v>
      </c>
      <c r="G19" s="820">
        <f t="shared" si="13"/>
        <v>674</v>
      </c>
      <c r="H19" s="819">
        <f t="shared" si="13"/>
        <v>0</v>
      </c>
      <c r="I19" s="821">
        <f t="shared" si="13"/>
        <v>0</v>
      </c>
      <c r="J19" s="821">
        <f t="shared" si="13"/>
        <v>0</v>
      </c>
      <c r="K19" s="880">
        <f t="shared" si="13"/>
        <v>0</v>
      </c>
      <c r="L19" s="821">
        <f t="shared" si="13"/>
        <v>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200</v>
      </c>
      <c r="X19" s="820">
        <f t="shared" si="14"/>
        <v>59</v>
      </c>
      <c r="Y19" s="827">
        <f t="shared" si="14"/>
        <v>259</v>
      </c>
      <c r="Z19" s="827">
        <f t="shared" si="14"/>
        <v>0</v>
      </c>
      <c r="AA19" s="827">
        <f t="shared" si="14"/>
        <v>804</v>
      </c>
      <c r="AB19" s="827">
        <f t="shared" si="14"/>
        <v>504</v>
      </c>
      <c r="AC19" s="827">
        <f t="shared" si="14"/>
        <v>862</v>
      </c>
      <c r="AD19" s="827">
        <f t="shared" si="14"/>
        <v>0</v>
      </c>
      <c r="AE19" s="829">
        <f t="shared" si="14"/>
        <v>0</v>
      </c>
      <c r="AF19" s="830">
        <f t="shared" si="14"/>
        <v>0</v>
      </c>
      <c r="AG19" s="831">
        <f t="shared" si="14"/>
        <v>0</v>
      </c>
      <c r="AH19" s="829">
        <f t="shared" si="14"/>
        <v>0</v>
      </c>
      <c r="AI19" s="819">
        <f t="shared" si="14"/>
        <v>79</v>
      </c>
      <c r="AJ19" s="819">
        <f t="shared" si="14"/>
        <v>0</v>
      </c>
      <c r="AK19" s="829">
        <f t="shared" si="14"/>
        <v>0</v>
      </c>
      <c r="AL19" s="883">
        <f>IF(ISNUMBER(NºAsuntos!G19/NºAsuntos!E19),NºAsuntos!G19/NºAsuntos!E19," - ")</f>
        <v>0.78937007874015752</v>
      </c>
      <c r="AM19" s="884">
        <f>IF(ISNUMBER(((NºAsuntos!I19/NºAsuntos!G19)*11)/factor_trimestre),((NºAsuntos!I19/NºAsuntos!G19)*11)/factor_trimestre," - ")</f>
        <v>10.4214463840399</v>
      </c>
      <c r="AN19" s="884">
        <f>IF(ISNUMBER('Resol  Asuntos'!D19/NºAsuntos!G19),'Resol  Asuntos'!D19/NºAsuntos!G19," - ")</f>
        <v>0.1970074812967581</v>
      </c>
      <c r="AO19" s="885">
        <f>IF(ISNUMBER((NºAsuntos!C19+NºAsuntos!E19)/NºAsuntos!G19),(NºAsuntos!C19+NºAsuntos!E19)/NºAsuntos!G19," - ")</f>
        <v>4.453865336658354</v>
      </c>
      <c r="AP19" s="886" t="str">
        <f t="shared" si="2"/>
        <v xml:space="preserve"> - </v>
      </c>
      <c r="AQ19" s="887">
        <f>IF(OR(ISNUMBER(FIND("01",Criterios!A8,1)),ISNUMBER(FIND("02",Criterios!A8,1)),ISNUMBER(FIND("03",Criterios!A8,1)),ISNUMBER(FIND("04",Criterios!A8,1))),(I19-W19+K19)/(F19-K19),(H19-W19+K19)/(F19-K19))</f>
        <v>-0.30864197530864196</v>
      </c>
      <c r="AR19" s="888">
        <f>IF(ISNUMBER((Datos!P19-Datos!Q19)/(Datos!R19-Datos!P19+Datos!Q19)),(Datos!P19-Datos!Q19)/(Datos!R19-Datos!P19+Datos!Q19)," - ")</f>
        <v>-1.1764705882352941E-2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269.60000000000002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368.34947174298122</v>
      </c>
      <c r="G21" s="252">
        <f>IF(ISNUMBER(STDEV(G8:G18)),STDEV(G8:G18),"-")</f>
        <v>349.48934175450904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102.41093691593686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26.112576791015218</v>
      </c>
      <c r="AJ21" s="251">
        <f t="shared" si="18"/>
        <v>0</v>
      </c>
      <c r="AK21" s="253">
        <f t="shared" si="18"/>
        <v>0</v>
      </c>
      <c r="AL21" s="248">
        <f t="shared" si="18"/>
        <v>0.5088023998184289</v>
      </c>
      <c r="AM21" s="249">
        <f t="shared" si="18"/>
        <v>2.4198810623181797</v>
      </c>
      <c r="AN21" s="249">
        <f t="shared" si="18"/>
        <v>0.11675378855449023</v>
      </c>
      <c r="AO21" s="250">
        <f t="shared" si="18"/>
        <v>0.78724127516556153</v>
      </c>
      <c r="AP21" s="290" t="str">
        <f t="shared" si="18"/>
        <v>-</v>
      </c>
      <c r="AQ21" s="291">
        <f t="shared" si="18"/>
        <v>6.5102210647346434E-2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USbBY7IHDPsdVqhKcIwoJdl1NAym2qTpnEkVsHftTma0qlue1vnu1KNKy5Rp/Um4yBfHfY44fZkCMhY+909qg==" saltValue="zc6rnlqMcleFxfesp8Gy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CERVERA DE PISUERGA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-0.5</v>
      </c>
      <c r="F10" s="347">
        <f>IF(ISNUMBER((Datos!K10-Datos!U10)/Datos!U10),(Datos!K10-Datos!U10)/Datos!U10," - ")</f>
        <v>1</v>
      </c>
      <c r="G10" s="348">
        <f>IF(ISNUMBER((Datos!L10-Datos!V10)/Datos!V10),(Datos!L10-Datos!V10)/Datos!V10," - ")</f>
        <v>-0.2</v>
      </c>
      <c r="H10" s="229">
        <f>IF(ISNUMBER((Datos!M10-Datos!W10)/Datos!W10),(Datos!M10-Datos!W10)/Datos!W10," - ")</f>
        <v>-1</v>
      </c>
      <c r="I10" s="349">
        <f>IF(ISNUMBER((Tasas!C10-Datos!BE10)/Datos!BE10),(Tasas!C10-Datos!BE10)/Datos!BE10," - ")</f>
        <v>-0.6</v>
      </c>
      <c r="J10" s="348">
        <f>IF(ISNUMBER((Tasas!D10-Datos!BF10)/Datos!BF10),(Tasas!D10-Datos!BF10)/Datos!BF10," - ")</f>
        <v>-1</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-0.23684210526315788</v>
      </c>
      <c r="I12" s="349">
        <f>IF(ISNUMBER((Tasas!C12-Datos!BE12)/Datos!BE12),(Tasas!C12-Datos!BE12)/Datos!BE12," - ")</f>
        <v>0.18797902379991929</v>
      </c>
      <c r="J12" s="348">
        <f>IF(ISNUMBER((Tasas!D12-Datos!BF12)/Datos!BF12),(Tasas!D12-Datos!BF12)/Datos!BF12," - ")</f>
        <v>-9.556694141234115E-2</v>
      </c>
      <c r="K12" s="350">
        <f>IF(ISNUMBER((Tasas!E12-Datos!BG12)/Datos!BG12),(Tasas!E12-Datos!BG12)/Datos!BG12," - ")</f>
        <v>0.13375430539609642</v>
      </c>
      <c r="M12" t="e">
        <f>IF(Monitorios="SI",Datos!CE12,0)</f>
        <v>#REF!</v>
      </c>
      <c r="N12" t="e">
        <f>IF(Monitorios="SI",Datos!CF12,0)</f>
        <v>#REF!</v>
      </c>
      <c r="O12" t="e">
        <f>IF(Monitorios="SI",Datos!CG12,0)</f>
        <v>#REF!</v>
      </c>
      <c r="P12" t="e">
        <f>IF(Monitorios="SI",Datos!CH12,0)</f>
        <v>#REF!</v>
      </c>
      <c r="Q12">
        <f>IF(J_V="SI",0,Datos!AG12)</f>
        <v>11</v>
      </c>
      <c r="R12">
        <f>IF(J_V="SI",0,Datos!AH12)</f>
        <v>5</v>
      </c>
      <c r="S12">
        <f>IF(J_V="SI",0,Datos!AI12)</f>
        <v>8</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-0.24675324675324675</v>
      </c>
      <c r="I13" s="356">
        <f>IF(ISNUMBER((Tasas!C13-Datos!BE13)/Datos!BE13),(Tasas!C13-Datos!BE13)/Datos!BE13," - ")</f>
        <v>0.1785266885814126</v>
      </c>
      <c r="J13" s="354">
        <f>IF(ISNUMBER((Tasas!D13-Datos!BF13)/Datos!BF13),(Tasas!D13-Datos!BF13)/Datos!BF13," - ")</f>
        <v>-0.11344537815126055</v>
      </c>
      <c r="K13" s="357">
        <f>IF(ISNUMBER((Tasas!E13-Datos!BG13)/Datos!BG13),(Tasas!E13-Datos!BG13)/Datos!BG13," - ")</f>
        <v>0.1272063462235406</v>
      </c>
      <c r="M13" t="e">
        <f>IF(Monitorios="SI",Datos!CE13,0)</f>
        <v>#REF!</v>
      </c>
      <c r="N13" t="e">
        <f>IF(Monitorios="SI",Datos!CF13,0)</f>
        <v>#REF!</v>
      </c>
      <c r="O13" t="e">
        <f>IF(Monitorios="SI",Datos!CG13,0)</f>
        <v>#REF!</v>
      </c>
      <c r="P13" t="e">
        <f>IF(Monitorios="SI",Datos!CH13,0)</f>
        <v>#REF!</v>
      </c>
      <c r="Q13">
        <f>IF(J_V="SI",0,Datos!AG13)</f>
        <v>11</v>
      </c>
      <c r="R13">
        <f>IF(J_V="SI",0,Datos!AH13)</f>
        <v>5</v>
      </c>
      <c r="S13">
        <f>IF(J_V="SI",0,Datos!AI13)</f>
        <v>8</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0.1319073083778966</v>
      </c>
      <c r="E16" s="347">
        <f>IF(ISNUMBER(
   IF(D_I="SI",(Datos!J16-Datos!T16)/Datos!T16,(Datos!J16+Datos!AD16-(Datos!T16+Datos!AL16))/(Datos!T16+Datos!AL16))
     ),IF(D_I="SI",(Datos!J16-Datos!T16)/Datos!T16,(Datos!J16+Datos!AD16-(Datos!T16+Datos!AL16))/(Datos!T16+Datos!AL16))," - ")</f>
        <v>0.34347826086956523</v>
      </c>
      <c r="F16" s="347">
        <f>IF(ISNUMBER(
   IF(D_I="SI",(Datos!K16-Datos!U16)/Datos!U16,(Datos!K16+Datos!AE16-(Datos!U16+Datos!AM16))/(Datos!U16+Datos!AM16))
     ),IF(D_I="SI",(Datos!K16-Datos!U16)/Datos!U16,(Datos!K16+Datos!AE16-(Datos!U16+Datos!AM16))/(Datos!U16+Datos!AM16))," - ")</f>
        <v>-0.28185328185328185</v>
      </c>
      <c r="G16" s="348">
        <f>IF(ISNUMBER(
   IF(D_I="SI",(Datos!L16-Datos!V16)/Datos!V16,(Datos!L16+Datos!AF16-(Datos!V16+Datos!AN16))/(Datos!V16+Datos!AN16))
     ),IF(D_I="SI",(Datos!L16-Datos!V16)/Datos!V16,(Datos!L16+Datos!AF16-(Datos!V16+Datos!AN16))/(Datos!V16+Datos!AN16))," - ")</f>
        <v>0.41328413284132842</v>
      </c>
      <c r="H16" s="229">
        <f>IF(ISNUMBER((Datos!M16-Datos!W16)/Datos!W16),(Datos!M16-Datos!W16)/Datos!W16," - ")</f>
        <v>-0.48717948717948717</v>
      </c>
      <c r="I16" s="349">
        <f>IF(ISNUMBER((Tasas!C16-Datos!BE16)/Datos!BE16),(Tasas!C16-Datos!BE16)/Datos!BE16," - ")</f>
        <v>0.96796016347260261</v>
      </c>
      <c r="J16" s="348">
        <f>IF(ISNUMBER((Tasas!D16-Datos!BF16)/Datos!BF16),(Tasas!D16-Datos!BF16)/Datos!BF16," - ")</f>
        <v>-0.2859112213950924</v>
      </c>
      <c r="K16" s="350">
        <f>IF(ISNUMBER((Tasas!E16-Datos!BG16)/Datos!BG16),(Tasas!E16-Datos!BG16)/Datos!BG16," - ")</f>
        <v>0.66181368350937297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-8.1081081081081086E-2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-0.29411764705882354</v>
      </c>
      <c r="G17" s="348">
        <f>IF(ISNUMBER(
   IF(D_I="SI",(Datos!L17-Datos!V17)/Datos!V17,(Datos!L17+Datos!AF17-(Datos!V17+Datos!AN17))/(Datos!V17+Datos!AN17))
     ),IF(D_I="SI",(Datos!L17-Datos!V17)/Datos!V17,(Datos!L17+Datos!AF17-(Datos!V17+Datos!AN17))/(Datos!V17+Datos!AN17))," - ")</f>
        <v>6.25E-2</v>
      </c>
      <c r="H17" s="229">
        <f>IF(ISNUMBER((Datos!M17-Datos!W17)/Datos!W17),(Datos!M17-Datos!W17)/Datos!W17," - ")</f>
        <v>-0.5</v>
      </c>
      <c r="I17" s="349">
        <f>IF(ISNUMBER((Tasas!C17-Datos!BE17)/Datos!BE17),(Tasas!C17-Datos!BE17)/Datos!BE17," - ")</f>
        <v>0.50520833333333348</v>
      </c>
      <c r="J17" s="348">
        <f>IF(ISNUMBER((Tasas!D17-Datos!BF17)/Datos!BF17),(Tasas!D17-Datos!BF17)/Datos!BF17," - ")</f>
        <v>-0.29166666666666669</v>
      </c>
      <c r="K17" s="350">
        <f>IF(ISNUMBER((Tasas!E17-Datos!BG17)/Datos!BG17),(Tasas!E17-Datos!BG17)/Datos!BG17," - ")</f>
        <v>0.32993197278911574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0.11872909698996656</v>
      </c>
      <c r="E18" s="353">
        <f>IF(ISNUMBER(
   IF(D_I="SI",(Datos!J18-Datos!T18)/Datos!T18,(Datos!J18+Datos!AD18-(Datos!T18+Datos!AL18))/(Datos!T18+Datos!AL18))
     ),IF(D_I="SI",(Datos!J18-Datos!T18)/Datos!T18,(Datos!J18+Datos!AD18-(Datos!T18+Datos!AL18))/(Datos!T18+Datos!AL18))," - ")</f>
        <v>0.32644628099173556</v>
      </c>
      <c r="F18" s="353">
        <f>IF(ISNUMBER(
   IF(D_I="SI",(Datos!K18-Datos!U18)/Datos!U18,(Datos!K18+Datos!AE18-(Datos!U18+Datos!AM18))/(Datos!U18+Datos!AM18))
     ),IF(D_I="SI",(Datos!K18-Datos!U18)/Datos!U18,(Datos!K18+Datos!AE18-(Datos!U18+Datos!AM18))/(Datos!U18+Datos!AM18))," - ")</f>
        <v>-0.28260869565217389</v>
      </c>
      <c r="G18" s="354">
        <f>IF(ISNUMBER(
   IF(D_I="SI",(Datos!L18-Datos!V18)/Datos!V18,(Datos!L18+Datos!AF18-(Datos!V18+Datos!AN18))/(Datos!V18+Datos!AN18))
     ),IF(D_I="SI",(Datos!L18-Datos!V18)/Datos!V18,(Datos!L18+Datos!AF18-(Datos!V18+Datos!AN18))/(Datos!V18+Datos!AN18))," - ")</f>
        <v>0.39372822299651566</v>
      </c>
      <c r="H18" s="355">
        <f>IF(ISNUMBER((Datos!M18-Datos!W18)/Datos!W18),(Datos!M18-Datos!W18)/Datos!W18," - ")</f>
        <v>-0.48780487804878048</v>
      </c>
      <c r="I18" s="356">
        <f>IF(ISNUMBER((Tasas!C18-Datos!BE18)/Datos!BE18),(Tasas!C18-Datos!BE18)/Datos!BE18," - ")</f>
        <v>0.9427726744799918</v>
      </c>
      <c r="J18" s="354">
        <f>IF(ISNUMBER((Tasas!D18-Datos!BF18)/Datos!BF18),(Tasas!D18-Datos!BF18)/Datos!BF18," - ")</f>
        <v>-0.28603104212860303</v>
      </c>
      <c r="K18" s="357">
        <f>IF(ISNUMBER((Tasas!E18-Datos!BG18)/Datos!BG18),(Tasas!E18-Datos!BG18)/Datos!BG18," - ")</f>
        <v>0.64285714285714279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0.22648752399232247</v>
      </c>
      <c r="E19" s="362">
        <f>IF(ISNUMBER(
   IF(J_V="SI",(Datos!J19-Datos!T19)/Datos!T19,(Datos!J19+Datos!Z19-(Datos!T19+Datos!AH19))/(Datos!T19+Datos!AH19))
     ),IF(J_V="SI",(Datos!J19-Datos!T19)/Datos!T19,(Datos!J19+Datos!Z19-(Datos!T19+Datos!AH19))/(Datos!T19+Datos!AH19))," - ")</f>
        <v>-4.5112781954887216E-2</v>
      </c>
      <c r="F19" s="362">
        <f>IF(ISNUMBER(
   IF(J_V="SI",(Datos!K19-Datos!U19)/Datos!U19,(Datos!K19+Datos!AA19-(Datos!U19+Datos!AI19))/(Datos!U19+Datos!AI19))
     ),IF(J_V="SI",(Datos!K19-Datos!U19)/Datos!U19,(Datos!K19+Datos!AA19-(Datos!U19+Datos!AI19))/(Datos!U19+Datos!AI19))," - ")</f>
        <v>-0.17659137577002054</v>
      </c>
      <c r="G19" s="363">
        <f>IF(ISNUMBER(
   IF(J_V="SI",(Datos!L19-Datos!V19)/Datos!V19,(Datos!L19+Datos!AB19-(Datos!V19+Datos!AJ19))/(Datos!V19+Datos!AJ19))
     ),IF(J_V="SI",(Datos!L19-Datos!V19)/Datos!V19,(Datos!L19+Datos!AB19-(Datos!V19+Datos!AJ19))/(Datos!V19+Datos!AJ19))," - ")</f>
        <v>0.2698268003646308</v>
      </c>
      <c r="H19" s="364">
        <f>IF(ISNUMBER((Datos!M19-Datos!W19)/Datos!W19),(Datos!M19-Datos!W19)/Datos!W19," - ")</f>
        <v>-0.33050847457627119</v>
      </c>
      <c r="I19" s="361">
        <f>IF(ISNUMBER((Tasas!C19-Datos!BE19)/Datos!BE19),(Tasas!C19-Datos!BE19)/Datos!BE19," - ")</f>
        <v>0.5421587326124071</v>
      </c>
      <c r="J19" s="362">
        <f>IF(ISNUMBER((Tasas!D19-Datos!BF19)/Datos!BF19),(Tasas!D19-Datos!BF19)/Datos!BF19," - ")</f>
        <v>-0.11979226246310824</v>
      </c>
      <c r="K19" s="363">
        <f>IF(ISNUMBER((Tasas!E19-Datos!BG19)/Datos!BG19),(Tasas!E19-Datos!BG19)/Datos!BG19," - ")</f>
        <v>0.3780383856115746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0.13731182353859714</v>
      </c>
      <c r="E21" s="277">
        <f t="shared" si="1"/>
        <v>0.39468379857873698</v>
      </c>
      <c r="F21" s="277">
        <f t="shared" si="1"/>
        <v>0.64312108943132729</v>
      </c>
      <c r="G21" s="278">
        <f t="shared" si="1"/>
        <v>0.29307009365651637</v>
      </c>
      <c r="H21" s="284">
        <f t="shared" si="1"/>
        <v>0.27691628416189118</v>
      </c>
      <c r="I21" s="276">
        <f t="shared" si="1"/>
        <v>0.58555355220030358</v>
      </c>
      <c r="J21" s="277">
        <f t="shared" si="1"/>
        <v>0.33306801547174442</v>
      </c>
      <c r="K21" s="278">
        <f t="shared" si="1"/>
        <v>0.42885659040743468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u34xT8BSWBM5+66tvUWMQktmu+wW/2+MScUqS89MkPC0z80fFY3d2fYB/sII/btGd2XW9FsdgmDkyGoAoWzxQ==" saltValue="XeEitfBjyukfzdqq5mg9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